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CK thu-chi TC (31-8) " sheetId="6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D62" i="6"/>
  <c r="D58"/>
  <c r="D54"/>
  <c r="D53"/>
  <c r="D52"/>
  <c r="D51"/>
  <c r="D49"/>
  <c r="D48"/>
  <c r="D47"/>
  <c r="D46"/>
  <c r="D45"/>
  <c r="D44"/>
  <c r="D42"/>
  <c r="D40"/>
  <c r="D38"/>
  <c r="D14"/>
  <c r="D13"/>
  <c r="D12"/>
  <c r="H12"/>
  <c r="H11"/>
  <c r="D11"/>
  <c r="D88"/>
  <c r="D156"/>
  <c r="D155" s="1"/>
  <c r="D152"/>
  <c r="D150"/>
  <c r="D127"/>
  <c r="D122"/>
  <c r="D133"/>
  <c r="D138"/>
  <c r="D132"/>
  <c r="D140"/>
  <c r="D139"/>
  <c r="D121"/>
  <c r="D119"/>
  <c r="D113"/>
  <c r="D111"/>
  <c r="D108"/>
  <c r="D106"/>
  <c r="D104"/>
  <c r="D100" s="1"/>
  <c r="D92"/>
  <c r="D91"/>
  <c r="D70"/>
  <c r="D85"/>
  <c r="D84"/>
  <c r="D83"/>
  <c r="D82"/>
  <c r="D81"/>
  <c r="D80"/>
  <c r="D79"/>
  <c r="D78"/>
  <c r="D77"/>
  <c r="D76"/>
  <c r="D71"/>
  <c r="D69" s="1"/>
  <c r="D59"/>
  <c r="D10"/>
  <c r="D31"/>
  <c r="D30"/>
  <c r="D154"/>
  <c r="D153" s="1"/>
  <c r="D151"/>
  <c r="D149"/>
  <c r="D147"/>
  <c r="D141" s="1"/>
  <c r="D137"/>
  <c r="D136"/>
  <c r="D135"/>
  <c r="D116"/>
  <c r="D115" s="1"/>
  <c r="D112"/>
  <c r="D110" s="1"/>
  <c r="D107"/>
  <c r="D90"/>
  <c r="D87" s="1"/>
  <c r="D86" s="1"/>
  <c r="D75"/>
  <c r="D65"/>
  <c r="D63"/>
  <c r="D61"/>
  <c r="D55"/>
  <c r="D50"/>
  <c r="D41"/>
  <c r="D37"/>
  <c r="D33"/>
  <c r="D32"/>
  <c r="D29" s="1"/>
  <c r="D27"/>
  <c r="D26"/>
  <c r="D25"/>
  <c r="D24"/>
  <c r="D21"/>
  <c r="D20"/>
  <c r="D19"/>
  <c r="D18"/>
  <c r="D16"/>
  <c r="D15" s="1"/>
  <c r="D148" l="1"/>
  <c r="D118"/>
  <c r="D105"/>
  <c r="D99" s="1"/>
  <c r="D131"/>
  <c r="D17"/>
  <c r="D9" s="1"/>
  <c r="D43"/>
  <c r="D36" l="1"/>
  <c r="D35" s="1"/>
  <c r="D34" s="1"/>
</calcChain>
</file>

<file path=xl/sharedStrings.xml><?xml version="1.0" encoding="utf-8"?>
<sst xmlns="http://schemas.openxmlformats.org/spreadsheetml/2006/main" count="168" uniqueCount="134">
  <si>
    <t>Lương ngạch,
 bậc theo quỹ lương được duyệt</t>
  </si>
  <si>
    <t>Lương tập sự, CC dự bị</t>
  </si>
  <si>
    <t>Lương hợp đồng dài hạn</t>
  </si>
  <si>
    <t>Tiền lương</t>
  </si>
  <si>
    <t>Tiền công trả cho người lao động</t>
  </si>
  <si>
    <t>Tiền công trả cho người lao động TX</t>
  </si>
  <si>
    <t>Phụ cấp lương</t>
  </si>
  <si>
    <t>Phụ cấp chức vụ</t>
  </si>
  <si>
    <t>Phụ cấp thêm giờ</t>
  </si>
  <si>
    <t>Phụ cấp ưu đãi nghề</t>
  </si>
  <si>
    <t>Phụ cấp theo nghề, theo công việc</t>
  </si>
  <si>
    <t>Phụ cấp thâm niên nghề</t>
  </si>
  <si>
    <t>Các khỏan đóng góp</t>
  </si>
  <si>
    <t>Bảo hiểm xã hội</t>
  </si>
  <si>
    <t>Kinh phí công đòan</t>
  </si>
  <si>
    <t>Bảo hiểm y tế</t>
  </si>
  <si>
    <t>Bảo hiểm thất nghiệp</t>
  </si>
  <si>
    <t>Các khỏan thanh tóan cho cá nhân</t>
  </si>
  <si>
    <t>Chênh lệch thu nhập thực tế so với</t>
  </si>
  <si>
    <t>lương ngạch bậc, chức vụ</t>
  </si>
  <si>
    <t>Công tác phí</t>
  </si>
  <si>
    <t>Trợ cấp, phụ cấp khác</t>
  </si>
  <si>
    <t>Khóan công tác phí</t>
  </si>
  <si>
    <t>Chi khác</t>
  </si>
  <si>
    <t xml:space="preserve">Nguồn ngân sách </t>
  </si>
  <si>
    <t>I</t>
  </si>
  <si>
    <t>Ngân sách chi thường xuyên</t>
  </si>
  <si>
    <t>II</t>
  </si>
  <si>
    <t>Học phí</t>
  </si>
  <si>
    <t>III</t>
  </si>
  <si>
    <t>Nguồn thu sự nghiệp khác</t>
  </si>
  <si>
    <t>Vệ sinh bán trú</t>
  </si>
  <si>
    <t>Tiền tổ chức và phục vụ quản lý bán trú</t>
  </si>
  <si>
    <t>Tiền thiết bị, vật dụng PV hs bán trú</t>
  </si>
  <si>
    <t>Phục vụ ăn sáng</t>
  </si>
  <si>
    <t>Trích lại từ BHTN hs</t>
  </si>
  <si>
    <t>Chi lập quỹ khen thưởng</t>
  </si>
  <si>
    <t>NGUỒN THU HỘ - CHI HỘ</t>
  </si>
  <si>
    <t>Tiền ăn trưa</t>
  </si>
  <si>
    <t>Tiền ăn sáng</t>
  </si>
  <si>
    <t>Mua thực phẩm, sữa, hòan trả</t>
  </si>
  <si>
    <t>Tẩy giun</t>
  </si>
  <si>
    <t>Tẩy giun cho trẻ mầm non</t>
  </si>
  <si>
    <t xml:space="preserve">B.PHẦN CHI </t>
  </si>
  <si>
    <t>Thu khác</t>
  </si>
  <si>
    <t>Thu hộ- chi hộ</t>
  </si>
  <si>
    <t>A.PHẦN THU</t>
  </si>
  <si>
    <t>Thu dịch vụ</t>
  </si>
  <si>
    <t>Mặt bằng</t>
  </si>
  <si>
    <t xml:space="preserve">Học phẩm </t>
  </si>
  <si>
    <t>Ngân sách chi không thường xuyên</t>
  </si>
  <si>
    <t>Sửa chữa, cải tạo trường học</t>
  </si>
  <si>
    <t>HIỆU TRƯỞNG</t>
  </si>
  <si>
    <t xml:space="preserve">                     Người lập biểu</t>
  </si>
  <si>
    <t xml:space="preserve">          Nguyễn Thị Tuyết Mai</t>
  </si>
  <si>
    <t>Tiểu 
mục</t>
  </si>
  <si>
    <t>Chỉ tiêu</t>
  </si>
  <si>
    <t>Mua tập vở, đồ dùng học tập , đồ chơi</t>
  </si>
  <si>
    <t>Năng khiếu anh văn</t>
  </si>
  <si>
    <t>Chi lập quỹ phúc lợi</t>
  </si>
  <si>
    <t>Chi lập quỹ phát triển hđ sự nghiệp</t>
  </si>
  <si>
    <t>Cấp bù học phí</t>
  </si>
  <si>
    <t>Ngân sách chi cải cách tiền lương</t>
  </si>
  <si>
    <t xml:space="preserve">Hổ trợ 35%, 25% </t>
  </si>
  <si>
    <t>Chi lập quỹ theo vị theo quy định</t>
  </si>
  <si>
    <t>Mua sắm trang thiết bị</t>
  </si>
  <si>
    <t>Ngân sách chi Cải cách tiền lương</t>
  </si>
  <si>
    <t>Lương theo ngạch bậc</t>
  </si>
  <si>
    <t>Phụ cấp Chức vụ</t>
  </si>
  <si>
    <t>Phụ cấp thâm niên vượt khung</t>
  </si>
  <si>
    <t>Phụ cấp đặc biệt khác của ngành</t>
  </si>
  <si>
    <t>Chi cải cách tiền lương theo NQ 03/2018</t>
  </si>
  <si>
    <t>Chi lương chênh lệch ML: 90,000đ</t>
  </si>
  <si>
    <t>Chi 34% bảo hiểm</t>
  </si>
  <si>
    <t>Thanh toán các khoản chi khác</t>
  </si>
  <si>
    <t>Trích lập quỹ (phúc lợi: 240.000.000đ), 
(khen thưởng 60.000.000đ)</t>
  </si>
  <si>
    <t>Thanh toán tiền lương và các khoản
 nâng lương trong đó: chi thu nhập tăng thêm 
nhân viên hợp đồng 26.200.000đ</t>
  </si>
  <si>
    <t>Trang bị cầu tuột ngoài trời</t>
  </si>
  <si>
    <t>Trang bị bàn ghế máy vi tính ( 10 x 2,235,000đ)</t>
  </si>
  <si>
    <t>Trang bị kệ lớp học 20 x 1,480,000đ</t>
  </si>
  <si>
    <t>Thanh toán tiền phí vệ sinh</t>
  </si>
  <si>
    <t>Thanh toán tiền mua gas giặt khăn</t>
  </si>
  <si>
    <t>Nộp thuế 2018</t>
  </si>
  <si>
    <t>Thanh toán tiền mua đò dùng vệ sinh bán trú</t>
  </si>
  <si>
    <t>Thanh toán tiền phục vụ CBCNV-GV
 và hợp đồng</t>
  </si>
  <si>
    <t>Chi nộp 32% BH và 2% KPCĐ</t>
  </si>
  <si>
    <t>Nộp thuế năm 2018</t>
  </si>
  <si>
    <t>Tiền thuê nhân viên nuôi dưỡng</t>
  </si>
  <si>
    <t>Thanh toán tiền thuê nhân viên nuôi dưỡng</t>
  </si>
  <si>
    <t>Tiền hoạt động hồ bơi</t>
  </si>
  <si>
    <t>Thanh toán tiền phục vụ hồ bơi</t>
  </si>
  <si>
    <t xml:space="preserve">Chi khác </t>
  </si>
  <si>
    <t>Tiền giữ trẻ trong hè</t>
  </si>
  <si>
    <t>Học phí cấp bũ</t>
  </si>
  <si>
    <t>Thay đổi ván lưng tủ của trẻ</t>
  </si>
  <si>
    <t>Sơn vẽ tủ cặp của trẻ</t>
  </si>
  <si>
    <t>Thanh toán tiền điện</t>
  </si>
  <si>
    <t xml:space="preserve">Năng khiếu </t>
  </si>
  <si>
    <t>Thanh toán tiền mua tài liệu và bộ mầm non</t>
  </si>
  <si>
    <t>Thanh toán tiền mua văn phòng phẩm</t>
  </si>
  <si>
    <t>Chi tiền phục vụ năng khiếu thể dục,anh văn, võ thuật</t>
  </si>
  <si>
    <t>Chi tiền năng khiếu dạy anh văn, thể dục, võ thuật</t>
  </si>
  <si>
    <t>Trích quỹ phát triển sự nghiệp</t>
  </si>
  <si>
    <t>Trang bị cân điện tử</t>
  </si>
  <si>
    <t>Trang bị xe đẩy thức ăn</t>
  </si>
  <si>
    <t>Trang bị bình nước trái cây</t>
  </si>
  <si>
    <t>Trang bị xe đẩy khăn 2 tầng</t>
  </si>
  <si>
    <t>Mua đồ dùng bán trú</t>
  </si>
  <si>
    <t>Năng khiếu võ thuật</t>
  </si>
  <si>
    <t>Ngân sách chi trả TNTT theo NQ 03/2018</t>
  </si>
  <si>
    <t>Dịch vụ công cộng</t>
  </si>
  <si>
    <t xml:space="preserve">Trang bị máy in, cài phàn mềm diệt virut,
 máy in canon, </t>
  </si>
  <si>
    <t>Năng khiếu thể dục</t>
  </si>
  <si>
    <t xml:space="preserve">Chi trả TNTT theo NQ03/2018 </t>
  </si>
  <si>
    <t>Hổ trợ chi phí học tập &amp; hổ trợ tiền ăn trưa</t>
  </si>
  <si>
    <t>Trang bị 05 bộ máy vi tính</t>
  </si>
  <si>
    <t>Thanh toán tiền giữ trẻ trong hè</t>
  </si>
  <si>
    <t>Thanh toán tiền nước cơ quan</t>
  </si>
  <si>
    <t>Thanh toán tiền mua đồ dùng vệ sinh</t>
  </si>
  <si>
    <t xml:space="preserve">Nguyễn Thị Nhiều </t>
  </si>
  <si>
    <t>Biểu số 4 - Ban hành kèm theo Thông tư số 90/2018/TT-BTC ngày 28 tháng 09 năm 2018 của Bộ Tài chính</t>
  </si>
  <si>
    <t>Đơn vị: Trường Mầm Non Tuổi Ngọc</t>
  </si>
  <si>
    <t>Chương: 622</t>
  </si>
  <si>
    <t>THÔNG BÁO</t>
  </si>
  <si>
    <t>(Từ ngày 01/09/2018 đến 31/8/2019)</t>
  </si>
  <si>
    <t>Tổng số liệu báo cáo
 quyết toán</t>
  </si>
  <si>
    <t>Tổng số liệu quyết toán
 được duyệt</t>
  </si>
  <si>
    <t>Chênh lệch</t>
  </si>
  <si>
    <r>
      <t>Số quyết toán được duyệt chi tiết từng đơn vị trực thuộc</t>
    </r>
    <r>
      <rPr>
        <sz val="9"/>
        <rFont val="Times New Roman"/>
        <family val="1"/>
      </rPr>
      <t xml:space="preserve"> (nếu có đơn vị trực thuộc)</t>
    </r>
  </si>
  <si>
    <t>Mua thực phẩm, sữa, yaourt, bánh flan,
 hòan trả</t>
  </si>
  <si>
    <t>Thu hoc phí</t>
  </si>
  <si>
    <t>Nguồn thu học phí</t>
  </si>
  <si>
    <t>Ngày  06 tháng  9 năm 2019</t>
  </si>
  <si>
    <t>CÔNG KHAI THU - CHI TÀI CHÍNH NĂM HỌC 2018-2019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</si>
</sst>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9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14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3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Arial"/>
      <family val="2"/>
    </font>
    <font>
      <i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sz val="11"/>
      <color indexed="8"/>
      <name val="Calibri"/>
      <family val="2"/>
      <charset val="163"/>
    </font>
    <font>
      <i/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8"/>
      <color indexed="8"/>
      <name val="Times New Roman"/>
      <family val="1"/>
      <charset val="163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3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1" applyNumberFormat="1" applyFont="1" applyBorder="1"/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5" fontId="4" fillId="0" borderId="2" xfId="1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5" fontId="6" fillId="0" borderId="2" xfId="1" applyNumberFormat="1" applyFont="1" applyBorder="1"/>
    <xf numFmtId="0" fontId="7" fillId="0" borderId="2" xfId="0" applyFont="1" applyBorder="1"/>
    <xf numFmtId="165" fontId="7" fillId="0" borderId="2" xfId="1" applyNumberFormat="1" applyFont="1" applyBorder="1"/>
    <xf numFmtId="165" fontId="3" fillId="0" borderId="2" xfId="1" applyNumberFormat="1" applyFont="1" applyBorder="1"/>
    <xf numFmtId="0" fontId="8" fillId="0" borderId="2" xfId="0" applyFont="1" applyBorder="1"/>
    <xf numFmtId="0" fontId="2" fillId="0" borderId="3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165" fontId="11" fillId="0" borderId="2" xfId="1" applyNumberFormat="1" applyFont="1" applyBorder="1"/>
    <xf numFmtId="0" fontId="3" fillId="0" borderId="2" xfId="0" applyFont="1" applyBorder="1"/>
    <xf numFmtId="0" fontId="2" fillId="0" borderId="2" xfId="0" applyFont="1" applyBorder="1" applyAlignment="1"/>
    <xf numFmtId="0" fontId="12" fillId="0" borderId="2" xfId="0" applyFont="1" applyBorder="1"/>
    <xf numFmtId="0" fontId="6" fillId="0" borderId="2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1" fillId="0" borderId="2" xfId="0" applyFont="1" applyBorder="1" applyProtection="1">
      <protection locked="0"/>
    </xf>
    <xf numFmtId="165" fontId="11" fillId="0" borderId="2" xfId="1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165" fontId="3" fillId="0" borderId="2" xfId="1" applyNumberFormat="1" applyFont="1" applyBorder="1" applyProtection="1">
      <protection locked="0"/>
    </xf>
    <xf numFmtId="165" fontId="2" fillId="0" borderId="2" xfId="1" applyNumberFormat="1" applyFont="1" applyBorder="1" applyProtection="1">
      <protection locked="0"/>
    </xf>
    <xf numFmtId="0" fontId="13" fillId="0" borderId="2" xfId="0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12" fillId="0" borderId="2" xfId="1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1" applyNumberFormat="1" applyFont="1" applyBorder="1"/>
    <xf numFmtId="0" fontId="2" fillId="0" borderId="8" xfId="0" applyFont="1" applyBorder="1" applyProtection="1">
      <protection locked="0"/>
    </xf>
    <xf numFmtId="0" fontId="0" fillId="0" borderId="8" xfId="0" applyFont="1" applyBorder="1" applyProtection="1">
      <protection locked="0"/>
    </xf>
    <xf numFmtId="165" fontId="2" fillId="0" borderId="8" xfId="1" applyNumberFormat="1" applyFont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5" fontId="4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/>
    <xf numFmtId="165" fontId="15" fillId="0" borderId="1" xfId="0" applyNumberFormat="1" applyFont="1" applyBorder="1" applyProtection="1">
      <protection locked="0"/>
    </xf>
    <xf numFmtId="0" fontId="2" fillId="0" borderId="9" xfId="0" applyFont="1" applyBorder="1"/>
    <xf numFmtId="165" fontId="2" fillId="0" borderId="9" xfId="1" applyNumberFormat="1" applyFont="1" applyBorder="1"/>
    <xf numFmtId="165" fontId="2" fillId="0" borderId="3" xfId="1" applyNumberFormat="1" applyFont="1" applyBorder="1"/>
    <xf numFmtId="0" fontId="7" fillId="0" borderId="9" xfId="0" applyFont="1" applyBorder="1"/>
    <xf numFmtId="165" fontId="7" fillId="0" borderId="9" xfId="1" applyNumberFormat="1" applyFont="1" applyBorder="1"/>
    <xf numFmtId="165" fontId="8" fillId="0" borderId="2" xfId="1" applyNumberFormat="1" applyFont="1" applyBorder="1"/>
    <xf numFmtId="165" fontId="18" fillId="0" borderId="2" xfId="1" applyNumberFormat="1" applyFont="1" applyBorder="1"/>
    <xf numFmtId="165" fontId="2" fillId="0" borderId="0" xfId="0" applyNumberFormat="1" applyFont="1"/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9" fillId="0" borderId="0" xfId="0" applyFont="1"/>
    <xf numFmtId="0" fontId="20" fillId="0" borderId="2" xfId="0" applyFont="1" applyBorder="1"/>
    <xf numFmtId="0" fontId="0" fillId="0" borderId="0" xfId="0" applyFont="1"/>
    <xf numFmtId="0" fontId="20" fillId="0" borderId="2" xfId="0" applyFont="1" applyBorder="1" applyAlignment="1">
      <alignment horizontal="center"/>
    </xf>
    <xf numFmtId="0" fontId="20" fillId="0" borderId="0" xfId="0" applyFont="1"/>
    <xf numFmtId="165" fontId="20" fillId="0" borderId="0" xfId="1" applyNumberFormat="1" applyFont="1"/>
    <xf numFmtId="165" fontId="21" fillId="0" borderId="2" xfId="1" applyNumberFormat="1" applyFont="1" applyBorder="1"/>
    <xf numFmtId="0" fontId="20" fillId="0" borderId="2" xfId="0" applyFont="1" applyBorder="1" applyAlignment="1">
      <alignment wrapText="1"/>
    </xf>
    <xf numFmtId="165" fontId="20" fillId="0" borderId="2" xfId="1" applyNumberFormat="1" applyFont="1" applyBorder="1"/>
    <xf numFmtId="165" fontId="2" fillId="0" borderId="0" xfId="1" applyNumberFormat="1" applyFont="1"/>
    <xf numFmtId="165" fontId="22" fillId="0" borderId="2" xfId="1" applyNumberFormat="1" applyFont="1" applyBorder="1"/>
    <xf numFmtId="0" fontId="25" fillId="0" borderId="0" xfId="0" applyFont="1" applyAlignment="1"/>
    <xf numFmtId="0" fontId="0" fillId="0" borderId="2" xfId="0" applyBorder="1"/>
    <xf numFmtId="165" fontId="2" fillId="0" borderId="2" xfId="0" applyNumberFormat="1" applyFont="1" applyBorder="1"/>
    <xf numFmtId="0" fontId="2" fillId="0" borderId="10" xfId="0" applyFont="1" applyBorder="1"/>
    <xf numFmtId="0" fontId="2" fillId="2" borderId="2" xfId="0" applyFont="1" applyFill="1" applyBorder="1"/>
    <xf numFmtId="165" fontId="2" fillId="2" borderId="2" xfId="1" applyNumberFormat="1" applyFont="1" applyFill="1" applyBorder="1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3" fillId="0" borderId="8" xfId="0" applyFont="1" applyBorder="1" applyProtection="1">
      <protection locked="0"/>
    </xf>
    <xf numFmtId="165" fontId="3" fillId="0" borderId="8" xfId="1" applyNumberFormat="1" applyFont="1" applyBorder="1" applyProtection="1">
      <protection locked="0"/>
    </xf>
    <xf numFmtId="165" fontId="2" fillId="0" borderId="8" xfId="0" applyNumberFormat="1" applyFont="1" applyBorder="1" applyProtection="1">
      <protection locked="0"/>
    </xf>
    <xf numFmtId="0" fontId="2" fillId="0" borderId="8" xfId="0" applyFont="1" applyBorder="1"/>
    <xf numFmtId="0" fontId="0" fillId="0" borderId="8" xfId="0" applyBorder="1"/>
    <xf numFmtId="0" fontId="2" fillId="0" borderId="1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 wrapText="1"/>
    </xf>
    <xf numFmtId="0" fontId="3" fillId="0" borderId="4" xfId="0" applyFont="1" applyBorder="1" applyAlignment="1"/>
    <xf numFmtId="0" fontId="0" fillId="0" borderId="4" xfId="0" applyBorder="1"/>
    <xf numFmtId="165" fontId="2" fillId="0" borderId="8" xfId="1" applyNumberFormat="1" applyFont="1" applyBorder="1"/>
    <xf numFmtId="0" fontId="0" fillId="0" borderId="10" xfId="0" applyBorder="1"/>
    <xf numFmtId="0" fontId="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165" fontId="8" fillId="0" borderId="8" xfId="1" applyNumberFormat="1" applyFont="1" applyBorder="1"/>
    <xf numFmtId="165" fontId="2" fillId="0" borderId="1" xfId="0" applyNumberFormat="1" applyFont="1" applyBorder="1"/>
    <xf numFmtId="165" fontId="10" fillId="0" borderId="3" xfId="0" applyNumberFormat="1" applyFont="1" applyBorder="1"/>
    <xf numFmtId="0" fontId="0" fillId="0" borderId="3" xfId="0" applyBorder="1"/>
    <xf numFmtId="0" fontId="11" fillId="0" borderId="10" xfId="0" applyFont="1" applyBorder="1" applyProtection="1">
      <protection locked="0"/>
    </xf>
    <xf numFmtId="165" fontId="11" fillId="0" borderId="10" xfId="1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Border="1"/>
    <xf numFmtId="165" fontId="2" fillId="0" borderId="0" xfId="1" applyNumberFormat="1" applyFont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4" fillId="0" borderId="0" xfId="2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Sheet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7"/>
  <sheetViews>
    <sheetView tabSelected="1" topLeftCell="A51" workbookViewId="0">
      <selection activeCell="D170" sqref="D170"/>
    </sheetView>
  </sheetViews>
  <sheetFormatPr defaultRowHeight="14.25"/>
  <cols>
    <col min="1" max="1" width="3.125" customWidth="1"/>
    <col min="2" max="2" width="4.375" customWidth="1"/>
    <col min="3" max="3" width="35.625" customWidth="1"/>
    <col min="4" max="4" width="14.875" customWidth="1"/>
    <col min="5" max="5" width="11.875" customWidth="1"/>
    <col min="6" max="6" width="6.625" customWidth="1"/>
    <col min="7" max="7" width="12.875" customWidth="1"/>
    <col min="8" max="8" width="12.375" customWidth="1"/>
  </cols>
  <sheetData>
    <row r="1" spans="1:9" ht="21.95" customHeight="1">
      <c r="A1" s="116" t="s">
        <v>120</v>
      </c>
      <c r="B1" s="116"/>
      <c r="C1" s="116"/>
      <c r="D1" s="116"/>
      <c r="E1" s="116"/>
      <c r="F1" s="116"/>
      <c r="G1" s="116"/>
    </row>
    <row r="2" spans="1:9" ht="21.95" customHeight="1">
      <c r="A2" s="72" t="s">
        <v>121</v>
      </c>
      <c r="B2" s="2"/>
      <c r="C2" s="2"/>
      <c r="D2" s="108"/>
      <c r="E2" s="108"/>
      <c r="F2" s="49"/>
    </row>
    <row r="3" spans="1:9" ht="21.95" customHeight="1">
      <c r="A3" s="72" t="s">
        <v>122</v>
      </c>
      <c r="B3" s="1"/>
      <c r="C3" s="1"/>
      <c r="D3" s="1"/>
      <c r="E3" s="1"/>
      <c r="F3" s="1"/>
    </row>
    <row r="4" spans="1:9" ht="21.95" customHeight="1">
      <c r="A4" s="119" t="s">
        <v>123</v>
      </c>
      <c r="B4" s="119"/>
      <c r="C4" s="119"/>
      <c r="D4" s="119"/>
      <c r="E4" s="119"/>
      <c r="F4" s="119"/>
      <c r="G4" s="119"/>
    </row>
    <row r="5" spans="1:9" ht="21.95" customHeight="1">
      <c r="A5" s="109" t="s">
        <v>133</v>
      </c>
      <c r="B5" s="109"/>
      <c r="C5" s="109"/>
      <c r="D5" s="109"/>
      <c r="E5" s="109"/>
      <c r="F5" s="109"/>
      <c r="G5" s="109"/>
    </row>
    <row r="6" spans="1:9" ht="21.95" customHeight="1">
      <c r="A6" s="109" t="s">
        <v>124</v>
      </c>
      <c r="B6" s="109"/>
      <c r="C6" s="109"/>
      <c r="D6" s="109"/>
      <c r="E6" s="109"/>
      <c r="F6" s="109"/>
      <c r="G6" s="109"/>
    </row>
    <row r="7" spans="1:9" ht="21.95" customHeight="1">
      <c r="A7" s="110"/>
      <c r="B7" s="110"/>
      <c r="C7" s="110"/>
      <c r="D7" s="110"/>
      <c r="E7" s="110"/>
      <c r="F7" s="90"/>
      <c r="G7" s="91"/>
    </row>
    <row r="8" spans="1:9" ht="122.25" customHeight="1">
      <c r="A8" s="86"/>
      <c r="B8" s="87" t="s">
        <v>55</v>
      </c>
      <c r="C8" s="88" t="s">
        <v>56</v>
      </c>
      <c r="D8" s="89" t="s">
        <v>125</v>
      </c>
      <c r="E8" s="89" t="s">
        <v>126</v>
      </c>
      <c r="F8" s="89" t="s">
        <v>127</v>
      </c>
      <c r="G8" s="89" t="s">
        <v>128</v>
      </c>
    </row>
    <row r="9" spans="1:9" ht="27" customHeight="1">
      <c r="A9" s="111" t="s">
        <v>46</v>
      </c>
      <c r="B9" s="112"/>
      <c r="C9" s="113"/>
      <c r="D9" s="50">
        <f>D10+D15+D17+D27+D29</f>
        <v>17845961597</v>
      </c>
      <c r="E9" s="37"/>
      <c r="F9" s="85"/>
      <c r="G9" s="48"/>
    </row>
    <row r="10" spans="1:9" ht="38.1" customHeight="1">
      <c r="A10" s="79">
        <v>1</v>
      </c>
      <c r="B10" s="41"/>
      <c r="C10" s="80" t="s">
        <v>24</v>
      </c>
      <c r="D10" s="81">
        <f>D11+D13+D12+D14</f>
        <v>9844359597</v>
      </c>
      <c r="E10" s="82"/>
      <c r="F10" s="83"/>
      <c r="G10" s="84"/>
    </row>
    <row r="11" spans="1:9" ht="38.1" customHeight="1">
      <c r="A11" s="42"/>
      <c r="B11" s="41"/>
      <c r="C11" s="41" t="s">
        <v>26</v>
      </c>
      <c r="D11" s="43">
        <f>3067967613+4680269944</f>
        <v>7748237557</v>
      </c>
      <c r="E11" s="30"/>
      <c r="F11" s="5"/>
      <c r="G11" s="73"/>
      <c r="H11">
        <f>522114583-490522053</f>
        <v>31592530</v>
      </c>
    </row>
    <row r="12" spans="1:9" ht="38.1" customHeight="1">
      <c r="A12" s="42"/>
      <c r="B12" s="41"/>
      <c r="C12" s="41" t="s">
        <v>62</v>
      </c>
      <c r="D12" s="43">
        <f>31592530+56440881</f>
        <v>88033411</v>
      </c>
      <c r="E12" s="30"/>
      <c r="F12" s="5"/>
      <c r="G12" s="73"/>
      <c r="H12">
        <f>1408460499-1352019618</f>
        <v>56440881</v>
      </c>
    </row>
    <row r="13" spans="1:9" ht="38.1" customHeight="1">
      <c r="A13" s="42"/>
      <c r="B13" s="41"/>
      <c r="C13" s="41" t="s">
        <v>50</v>
      </c>
      <c r="D13" s="43">
        <f>160806958+4740000</f>
        <v>165546958</v>
      </c>
      <c r="E13" s="30"/>
      <c r="F13" s="5"/>
      <c r="G13" s="73"/>
      <c r="I13" s="78"/>
    </row>
    <row r="14" spans="1:9" ht="38.1" customHeight="1">
      <c r="A14" s="42"/>
      <c r="B14" s="41"/>
      <c r="C14" s="41" t="s">
        <v>109</v>
      </c>
      <c r="D14" s="43">
        <f>490522053+1352019618</f>
        <v>1842541671</v>
      </c>
      <c r="E14" s="30"/>
      <c r="F14" s="5"/>
      <c r="G14" s="73"/>
    </row>
    <row r="15" spans="1:9" ht="38.1" customHeight="1">
      <c r="A15" s="29">
        <v>2</v>
      </c>
      <c r="B15" s="30"/>
      <c r="C15" s="31" t="s">
        <v>130</v>
      </c>
      <c r="D15" s="32">
        <f>D16</f>
        <v>894680000</v>
      </c>
      <c r="E15" s="30"/>
      <c r="F15" s="5"/>
      <c r="G15" s="73"/>
    </row>
    <row r="16" spans="1:9" ht="38.1" customHeight="1">
      <c r="A16" s="29"/>
      <c r="B16" s="30"/>
      <c r="C16" s="25" t="s">
        <v>28</v>
      </c>
      <c r="D16" s="33">
        <f>393720000+500960000</f>
        <v>894680000</v>
      </c>
      <c r="E16" s="30"/>
      <c r="F16" s="5"/>
      <c r="G16" s="73"/>
    </row>
    <row r="17" spans="1:7" ht="38.1" customHeight="1">
      <c r="A17" s="34">
        <v>3</v>
      </c>
      <c r="B17" s="26"/>
      <c r="C17" s="26" t="s">
        <v>44</v>
      </c>
      <c r="D17" s="35">
        <f>SUM(D18:D26)</f>
        <v>2803040000</v>
      </c>
      <c r="E17" s="30"/>
      <c r="F17" s="5"/>
      <c r="G17" s="73"/>
    </row>
    <row r="18" spans="1:7" ht="38.1" customHeight="1">
      <c r="A18" s="29"/>
      <c r="B18" s="30"/>
      <c r="C18" s="25" t="s">
        <v>31</v>
      </c>
      <c r="D18" s="33">
        <f>48220000+61240000</f>
        <v>109460000</v>
      </c>
      <c r="E18" s="30"/>
      <c r="F18" s="5"/>
      <c r="G18" s="73"/>
    </row>
    <row r="19" spans="1:7" ht="38.1" customHeight="1">
      <c r="A19" s="29"/>
      <c r="B19" s="30"/>
      <c r="C19" s="25" t="s">
        <v>32</v>
      </c>
      <c r="D19" s="33">
        <f>424260000+539280000</f>
        <v>963540000</v>
      </c>
      <c r="E19" s="30"/>
      <c r="F19" s="5"/>
      <c r="G19" s="73"/>
    </row>
    <row r="20" spans="1:7" ht="38.1" customHeight="1">
      <c r="A20" s="29"/>
      <c r="B20" s="30"/>
      <c r="C20" s="25" t="s">
        <v>33</v>
      </c>
      <c r="D20" s="33">
        <f>125200000+2400000</f>
        <v>127600000</v>
      </c>
      <c r="E20" s="30"/>
      <c r="F20" s="5"/>
      <c r="G20" s="73"/>
    </row>
    <row r="21" spans="1:7" ht="38.1" customHeight="1">
      <c r="A21" s="29"/>
      <c r="B21" s="30"/>
      <c r="C21" s="25" t="s">
        <v>34</v>
      </c>
      <c r="D21" s="33">
        <f>353400000+449100000</f>
        <v>802500000</v>
      </c>
      <c r="E21" s="30"/>
      <c r="F21" s="5"/>
      <c r="G21" s="73"/>
    </row>
    <row r="22" spans="1:7" ht="38.1" customHeight="1">
      <c r="A22" s="29"/>
      <c r="B22" s="30"/>
      <c r="C22" s="25" t="s">
        <v>35</v>
      </c>
      <c r="D22" s="33"/>
      <c r="E22" s="30"/>
      <c r="F22" s="5"/>
      <c r="G22" s="73"/>
    </row>
    <row r="23" spans="1:7" ht="38.1" customHeight="1">
      <c r="A23" s="29"/>
      <c r="B23" s="30"/>
      <c r="C23" s="25" t="s">
        <v>92</v>
      </c>
      <c r="D23" s="33">
        <v>249860000</v>
      </c>
      <c r="E23" s="30"/>
      <c r="F23" s="5"/>
      <c r="G23" s="73"/>
    </row>
    <row r="24" spans="1:7" ht="38.1" customHeight="1">
      <c r="A24" s="29"/>
      <c r="B24" s="30"/>
      <c r="C24" s="25" t="s">
        <v>58</v>
      </c>
      <c r="D24" s="33">
        <f>118680000+198360000</f>
        <v>317040000</v>
      </c>
      <c r="E24" s="30"/>
      <c r="F24" s="5"/>
      <c r="G24" s="73"/>
    </row>
    <row r="25" spans="1:7" ht="38.1" customHeight="1">
      <c r="A25" s="29"/>
      <c r="B25" s="30"/>
      <c r="C25" s="25" t="s">
        <v>112</v>
      </c>
      <c r="D25" s="33">
        <f>93730000+55510000</f>
        <v>149240000</v>
      </c>
      <c r="E25" s="30"/>
      <c r="F25" s="5"/>
      <c r="G25" s="73"/>
    </row>
    <row r="26" spans="1:7" ht="38.1" customHeight="1">
      <c r="A26" s="29"/>
      <c r="B26" s="30"/>
      <c r="C26" s="25" t="s">
        <v>108</v>
      </c>
      <c r="D26" s="33">
        <f>51700000+32100000</f>
        <v>83800000</v>
      </c>
      <c r="E26" s="30"/>
      <c r="F26" s="5"/>
      <c r="G26" s="73"/>
    </row>
    <row r="27" spans="1:7" ht="38.1" customHeight="1">
      <c r="A27" s="34">
        <v>4</v>
      </c>
      <c r="B27" s="26"/>
      <c r="C27" s="26" t="s">
        <v>47</v>
      </c>
      <c r="D27" s="36">
        <f>D28</f>
        <v>69500000</v>
      </c>
      <c r="E27" s="30"/>
      <c r="F27" s="5"/>
      <c r="G27" s="73"/>
    </row>
    <row r="28" spans="1:7" ht="38.1" customHeight="1">
      <c r="A28" s="29"/>
      <c r="B28" s="30"/>
      <c r="C28" s="25" t="s">
        <v>48</v>
      </c>
      <c r="D28" s="33">
        <v>69500000</v>
      </c>
      <c r="E28" s="30"/>
      <c r="F28" s="5"/>
      <c r="G28" s="73"/>
    </row>
    <row r="29" spans="1:7" ht="38.1" customHeight="1">
      <c r="A29" s="34">
        <v>5</v>
      </c>
      <c r="B29" s="26"/>
      <c r="C29" s="26" t="s">
        <v>45</v>
      </c>
      <c r="D29" s="35">
        <f>SUM(D30:D33)</f>
        <v>4234382000</v>
      </c>
      <c r="E29" s="30"/>
      <c r="F29" s="5"/>
      <c r="G29" s="73"/>
    </row>
    <row r="30" spans="1:7" ht="38.1" customHeight="1">
      <c r="A30" s="27">
        <v>1</v>
      </c>
      <c r="B30" s="27"/>
      <c r="C30" s="27" t="s">
        <v>38</v>
      </c>
      <c r="D30" s="28">
        <f>1523620000+1379370000+162024000</f>
        <v>3065014000</v>
      </c>
      <c r="E30" s="30"/>
      <c r="F30" s="5"/>
      <c r="G30" s="73"/>
    </row>
    <row r="31" spans="1:7" ht="38.1" customHeight="1">
      <c r="A31" s="27">
        <v>2</v>
      </c>
      <c r="B31" s="27"/>
      <c r="C31" s="27" t="s">
        <v>39</v>
      </c>
      <c r="D31" s="28">
        <f>508800000+459790000+54010000</f>
        <v>1022600000</v>
      </c>
      <c r="E31" s="30"/>
      <c r="F31" s="5"/>
      <c r="G31" s="73"/>
    </row>
    <row r="32" spans="1:7" ht="38.1" customHeight="1">
      <c r="A32" s="27">
        <v>3</v>
      </c>
      <c r="B32" s="27"/>
      <c r="C32" s="27" t="s">
        <v>41</v>
      </c>
      <c r="D32" s="28">
        <f>3114000+3294000</f>
        <v>6408000</v>
      </c>
      <c r="E32" s="30"/>
      <c r="F32" s="5"/>
      <c r="G32" s="73"/>
    </row>
    <row r="33" spans="1:12" ht="38.1" customHeight="1">
      <c r="A33" s="101">
        <v>4</v>
      </c>
      <c r="B33" s="101"/>
      <c r="C33" s="101" t="s">
        <v>49</v>
      </c>
      <c r="D33" s="102">
        <f>2640000+137720000</f>
        <v>140360000</v>
      </c>
      <c r="E33" s="103"/>
      <c r="F33" s="75"/>
      <c r="G33" s="93"/>
    </row>
    <row r="34" spans="1:12" ht="38.1" customHeight="1">
      <c r="A34" s="117" t="s">
        <v>43</v>
      </c>
      <c r="B34" s="117"/>
      <c r="C34" s="118"/>
      <c r="D34" s="99">
        <f>D35+D86+D99+D148</f>
        <v>17038132421</v>
      </c>
      <c r="E34" s="100"/>
      <c r="F34" s="100"/>
      <c r="G34" s="100"/>
    </row>
    <row r="35" spans="1:12" ht="38.1" customHeight="1">
      <c r="A35" s="38" t="s">
        <v>25</v>
      </c>
      <c r="B35" s="38"/>
      <c r="C35" s="39" t="s">
        <v>24</v>
      </c>
      <c r="D35" s="40">
        <f>D36+D69</f>
        <v>8068761855</v>
      </c>
      <c r="E35" s="3"/>
      <c r="F35" s="85"/>
      <c r="G35" s="85"/>
      <c r="H35" s="1"/>
      <c r="I35" s="1"/>
      <c r="J35" s="1"/>
      <c r="K35" s="1"/>
      <c r="L35" s="1"/>
    </row>
    <row r="36" spans="1:12" ht="38.1" customHeight="1">
      <c r="A36" s="44">
        <v>1</v>
      </c>
      <c r="B36" s="44"/>
      <c r="C36" s="45" t="s">
        <v>26</v>
      </c>
      <c r="D36" s="46">
        <f>SUM(D37:D68)/2</f>
        <v>7903214897</v>
      </c>
      <c r="E36" s="3"/>
      <c r="F36" s="98"/>
      <c r="G36" s="85"/>
      <c r="H36" s="1"/>
      <c r="I36" s="1"/>
      <c r="J36" s="1"/>
      <c r="K36" s="1"/>
      <c r="L36" s="1"/>
    </row>
    <row r="37" spans="1:12" ht="38.1" customHeight="1">
      <c r="A37" s="94"/>
      <c r="B37" s="95"/>
      <c r="C37" s="96" t="s">
        <v>3</v>
      </c>
      <c r="D37" s="97">
        <f>D38+D39+D40</f>
        <v>2595135239</v>
      </c>
      <c r="E37" s="92"/>
      <c r="F37" s="83"/>
      <c r="G37" s="83"/>
      <c r="H37" s="1"/>
      <c r="I37" s="1"/>
      <c r="J37" s="1"/>
      <c r="K37" s="1"/>
      <c r="L37" s="1"/>
    </row>
    <row r="38" spans="1:12" ht="38.1" customHeight="1">
      <c r="A38" s="4"/>
      <c r="B38" s="4">
        <v>6001</v>
      </c>
      <c r="C38" s="7" t="s">
        <v>0</v>
      </c>
      <c r="D38" s="6">
        <f>723707758+1661379541</f>
        <v>2385087299</v>
      </c>
      <c r="E38" s="6"/>
      <c r="F38" s="5"/>
      <c r="G38" s="5"/>
      <c r="H38" s="1"/>
      <c r="I38" s="1"/>
      <c r="J38" s="1"/>
      <c r="K38" s="1"/>
      <c r="L38" s="1"/>
    </row>
    <row r="39" spans="1:12" ht="38.1" customHeight="1">
      <c r="A39" s="4"/>
      <c r="B39" s="4">
        <v>6002</v>
      </c>
      <c r="C39" s="5" t="s">
        <v>1</v>
      </c>
      <c r="D39" s="6"/>
      <c r="E39" s="6"/>
      <c r="F39" s="5"/>
      <c r="G39" s="5"/>
      <c r="H39" s="1"/>
      <c r="I39" s="1"/>
      <c r="J39" s="1"/>
      <c r="K39" s="1"/>
      <c r="L39" s="1"/>
    </row>
    <row r="40" spans="1:12" ht="38.1" customHeight="1">
      <c r="A40" s="4"/>
      <c r="B40" s="4">
        <v>6003</v>
      </c>
      <c r="C40" s="5" t="s">
        <v>2</v>
      </c>
      <c r="D40" s="6">
        <f>154977340+55070600</f>
        <v>210047940</v>
      </c>
      <c r="E40" s="6"/>
      <c r="F40" s="5"/>
      <c r="G40" s="5"/>
      <c r="H40" s="1"/>
      <c r="I40" s="1"/>
      <c r="J40" s="1"/>
      <c r="K40" s="1"/>
      <c r="L40" s="1"/>
    </row>
    <row r="41" spans="1:12" ht="38.1" customHeight="1">
      <c r="A41" s="4"/>
      <c r="B41" s="8"/>
      <c r="C41" s="9" t="s">
        <v>4</v>
      </c>
      <c r="D41" s="56">
        <f>D42</f>
        <v>471347819</v>
      </c>
      <c r="E41" s="6"/>
      <c r="F41" s="5"/>
      <c r="G41" s="5"/>
      <c r="H41" s="1"/>
      <c r="I41" s="1"/>
      <c r="J41" s="1"/>
      <c r="K41" s="1"/>
      <c r="L41" s="1"/>
    </row>
    <row r="42" spans="1:12" ht="38.1" customHeight="1">
      <c r="A42" s="4"/>
      <c r="B42" s="4">
        <v>6051</v>
      </c>
      <c r="C42" s="5" t="s">
        <v>5</v>
      </c>
      <c r="D42" s="6">
        <f>154977340+316370479</f>
        <v>471347819</v>
      </c>
      <c r="E42" s="6"/>
      <c r="F42" s="5"/>
      <c r="G42" s="5"/>
      <c r="H42" s="1"/>
      <c r="I42" s="1"/>
      <c r="J42" s="1"/>
      <c r="K42" s="1"/>
      <c r="L42" s="1"/>
    </row>
    <row r="43" spans="1:12" ht="38.1" customHeight="1">
      <c r="A43" s="4"/>
      <c r="B43" s="8"/>
      <c r="C43" s="9" t="s">
        <v>6</v>
      </c>
      <c r="D43" s="56">
        <f>SUM(D44:D49)</f>
        <v>2412911971</v>
      </c>
      <c r="E43" s="6"/>
      <c r="F43" s="5"/>
      <c r="G43" s="5"/>
      <c r="H43" s="1"/>
      <c r="I43" s="1"/>
      <c r="J43" s="1"/>
      <c r="K43" s="1"/>
      <c r="L43" s="1"/>
    </row>
    <row r="44" spans="1:12" ht="38.1" customHeight="1">
      <c r="A44" s="4"/>
      <c r="B44" s="4">
        <v>6101</v>
      </c>
      <c r="C44" s="5" t="s">
        <v>7</v>
      </c>
      <c r="D44" s="6">
        <f>6240000+23549526</f>
        <v>29789526</v>
      </c>
      <c r="E44" s="6"/>
      <c r="F44" s="5"/>
      <c r="G44" s="5"/>
      <c r="H44" s="1"/>
      <c r="I44" s="1"/>
      <c r="J44" s="1"/>
      <c r="K44" s="1"/>
      <c r="L44" s="1"/>
    </row>
    <row r="45" spans="1:12" ht="38.1" customHeight="1">
      <c r="A45" s="4"/>
      <c r="B45" s="4">
        <v>6106</v>
      </c>
      <c r="C45" s="5" t="s">
        <v>8</v>
      </c>
      <c r="D45" s="6">
        <f>273545107+161491400</f>
        <v>435036507</v>
      </c>
      <c r="E45" s="6"/>
      <c r="F45" s="5"/>
      <c r="G45" s="5"/>
      <c r="H45" s="1"/>
      <c r="I45" s="1"/>
      <c r="J45" s="1"/>
      <c r="K45" s="1"/>
      <c r="L45" s="1"/>
    </row>
    <row r="46" spans="1:12" ht="38.1" customHeight="1">
      <c r="A46" s="4"/>
      <c r="B46" s="4">
        <v>6112</v>
      </c>
      <c r="C46" s="5" t="s">
        <v>9</v>
      </c>
      <c r="D46" s="6">
        <f>336412776+524768129</f>
        <v>861180905</v>
      </c>
      <c r="E46" s="6"/>
      <c r="F46" s="5"/>
      <c r="G46" s="5"/>
      <c r="H46" s="1"/>
      <c r="I46" s="1"/>
      <c r="J46" s="1"/>
      <c r="K46" s="1"/>
      <c r="L46" s="1"/>
    </row>
    <row r="47" spans="1:12" ht="38.1" customHeight="1">
      <c r="A47" s="4"/>
      <c r="B47" s="4">
        <v>6113</v>
      </c>
      <c r="C47" s="5" t="s">
        <v>10</v>
      </c>
      <c r="D47" s="6">
        <f>1614000+3813000</f>
        <v>5427000</v>
      </c>
      <c r="E47" s="6"/>
      <c r="F47" s="5"/>
      <c r="G47" s="5"/>
      <c r="H47" s="1"/>
      <c r="I47" s="1"/>
      <c r="J47" s="1"/>
      <c r="K47" s="1"/>
      <c r="L47" s="1"/>
    </row>
    <row r="48" spans="1:12" ht="38.1" customHeight="1">
      <c r="A48" s="4"/>
      <c r="B48" s="4">
        <v>6115</v>
      </c>
      <c r="C48" s="5" t="s">
        <v>11</v>
      </c>
      <c r="D48" s="6">
        <f>94685311+223473385</f>
        <v>318158696</v>
      </c>
      <c r="E48" s="6"/>
      <c r="F48" s="5"/>
      <c r="G48" s="5"/>
      <c r="H48" s="1"/>
      <c r="I48" s="1"/>
      <c r="J48" s="1"/>
      <c r="K48" s="1"/>
      <c r="L48" s="1"/>
    </row>
    <row r="49" spans="1:12" ht="38.1" customHeight="1">
      <c r="A49" s="4"/>
      <c r="B49" s="4">
        <v>6116</v>
      </c>
      <c r="C49" s="5" t="s">
        <v>63</v>
      </c>
      <c r="D49" s="6">
        <f>240765958+522553379</f>
        <v>763319337</v>
      </c>
      <c r="E49" s="6"/>
      <c r="F49" s="5"/>
      <c r="G49" s="5"/>
      <c r="H49" s="1"/>
      <c r="I49" s="1"/>
      <c r="J49" s="1"/>
      <c r="K49" s="1"/>
      <c r="L49" s="1"/>
    </row>
    <row r="50" spans="1:12" ht="38.1" customHeight="1">
      <c r="A50" s="4"/>
      <c r="B50" s="8"/>
      <c r="C50" s="9" t="s">
        <v>12</v>
      </c>
      <c r="D50" s="56">
        <f>SUM(D51:D54)</f>
        <v>746099364</v>
      </c>
      <c r="E50" s="6"/>
      <c r="F50" s="5"/>
      <c r="G50" s="5"/>
      <c r="H50" s="1"/>
      <c r="I50" s="1"/>
      <c r="J50" s="1"/>
      <c r="K50" s="1"/>
      <c r="L50" s="1"/>
    </row>
    <row r="51" spans="1:12" ht="38.1" customHeight="1">
      <c r="A51" s="4"/>
      <c r="B51" s="4">
        <v>6301</v>
      </c>
      <c r="C51" s="5" t="s">
        <v>13</v>
      </c>
      <c r="D51" s="6">
        <f>167197863+388997615</f>
        <v>556195478</v>
      </c>
      <c r="E51" s="6"/>
      <c r="F51" s="5"/>
      <c r="G51" s="5"/>
      <c r="H51" s="1"/>
      <c r="I51" s="1"/>
      <c r="J51" s="1"/>
      <c r="K51" s="1"/>
      <c r="L51" s="1"/>
    </row>
    <row r="52" spans="1:12" ht="38.1" customHeight="1">
      <c r="A52" s="4"/>
      <c r="B52" s="4">
        <v>6302</v>
      </c>
      <c r="C52" s="5" t="s">
        <v>15</v>
      </c>
      <c r="D52" s="6">
        <f>28662482+66685295</f>
        <v>95347777</v>
      </c>
      <c r="E52" s="6"/>
      <c r="F52" s="5"/>
      <c r="G52" s="5"/>
      <c r="H52" s="1"/>
      <c r="I52" s="1"/>
      <c r="J52" s="1"/>
      <c r="K52" s="1"/>
      <c r="L52" s="1"/>
    </row>
    <row r="53" spans="1:12" ht="38.1" customHeight="1">
      <c r="A53" s="4"/>
      <c r="B53" s="4">
        <v>6303</v>
      </c>
      <c r="C53" s="5" t="s">
        <v>14</v>
      </c>
      <c r="D53" s="6">
        <f>19108332+44621571</f>
        <v>63729903</v>
      </c>
      <c r="E53" s="6"/>
      <c r="F53" s="5"/>
      <c r="G53" s="5"/>
      <c r="H53" s="1"/>
      <c r="I53" s="1"/>
      <c r="J53" s="1"/>
      <c r="K53" s="1"/>
      <c r="L53" s="1"/>
    </row>
    <row r="54" spans="1:12" ht="38.1" customHeight="1">
      <c r="A54" s="4"/>
      <c r="B54" s="4">
        <v>6304</v>
      </c>
      <c r="C54" s="5" t="s">
        <v>16</v>
      </c>
      <c r="D54" s="6">
        <f>9242981+21583225</f>
        <v>30826206</v>
      </c>
      <c r="E54" s="6"/>
      <c r="F54" s="5"/>
      <c r="G54" s="5"/>
      <c r="H54" s="1"/>
      <c r="I54" s="1"/>
      <c r="J54" s="1"/>
      <c r="K54" s="1"/>
      <c r="L54" s="1"/>
    </row>
    <row r="55" spans="1:12" ht="38.1" customHeight="1">
      <c r="A55" s="4"/>
      <c r="B55" s="8"/>
      <c r="C55" s="9" t="s">
        <v>17</v>
      </c>
      <c r="D55" s="56">
        <f>D57+D58+D56</f>
        <v>1425645844</v>
      </c>
      <c r="E55" s="6"/>
      <c r="F55" s="5"/>
      <c r="G55" s="5"/>
      <c r="H55" s="1"/>
      <c r="I55" s="1"/>
      <c r="J55" s="1"/>
      <c r="K55" s="1"/>
      <c r="L55" s="1"/>
    </row>
    <row r="56" spans="1:12" ht="38.1" customHeight="1">
      <c r="A56" s="4"/>
      <c r="B56" s="4">
        <v>6404</v>
      </c>
      <c r="C56" s="5" t="s">
        <v>18</v>
      </c>
      <c r="D56" s="6">
        <v>599077900</v>
      </c>
      <c r="E56" s="6"/>
      <c r="F56" s="5"/>
      <c r="G56" s="5"/>
      <c r="H56" s="1"/>
      <c r="I56" s="1"/>
      <c r="J56" s="1"/>
      <c r="K56" s="1"/>
      <c r="L56" s="1"/>
    </row>
    <row r="57" spans="1:12" ht="38.1" customHeight="1">
      <c r="A57" s="4"/>
      <c r="B57" s="4"/>
      <c r="C57" s="5" t="s">
        <v>19</v>
      </c>
      <c r="D57" s="6"/>
      <c r="E57" s="6"/>
      <c r="F57" s="5"/>
      <c r="G57" s="5"/>
      <c r="H57" s="1"/>
      <c r="I57" s="1"/>
      <c r="J57" s="1"/>
      <c r="K57" s="1"/>
      <c r="L57" s="1"/>
    </row>
    <row r="58" spans="1:12" ht="38.1" customHeight="1">
      <c r="A58" s="4"/>
      <c r="B58" s="4">
        <v>6449</v>
      </c>
      <c r="C58" s="5" t="s">
        <v>21</v>
      </c>
      <c r="D58" s="6">
        <f>296960312+529607632</f>
        <v>826567944</v>
      </c>
      <c r="E58" s="6"/>
      <c r="F58" s="5"/>
      <c r="G58" s="5"/>
      <c r="H58" s="1"/>
      <c r="I58" s="1"/>
      <c r="J58" s="1"/>
      <c r="K58" s="1"/>
      <c r="L58" s="1"/>
    </row>
    <row r="59" spans="1:12" ht="38.1" customHeight="1">
      <c r="A59" s="4"/>
      <c r="B59" s="8"/>
      <c r="C59" s="9" t="s">
        <v>110</v>
      </c>
      <c r="D59" s="10">
        <f>D60</f>
        <v>6551460</v>
      </c>
      <c r="E59" s="6"/>
      <c r="F59" s="5"/>
      <c r="G59" s="5"/>
      <c r="H59" s="1"/>
      <c r="I59" s="1"/>
      <c r="J59" s="1"/>
      <c r="K59" s="1"/>
      <c r="L59" s="1"/>
    </row>
    <row r="60" spans="1:12" ht="38.1" customHeight="1">
      <c r="A60" s="4"/>
      <c r="B60" s="4">
        <v>6501</v>
      </c>
      <c r="C60" s="5" t="s">
        <v>96</v>
      </c>
      <c r="D60" s="6">
        <v>6551460</v>
      </c>
      <c r="E60" s="6"/>
      <c r="F60" s="5"/>
      <c r="G60" s="5"/>
      <c r="H60" s="1"/>
      <c r="I60" s="1"/>
      <c r="J60" s="1"/>
      <c r="K60" s="1"/>
      <c r="L60" s="1"/>
    </row>
    <row r="61" spans="1:12" ht="38.1" customHeight="1">
      <c r="A61" s="4"/>
      <c r="B61" s="8"/>
      <c r="C61" s="9" t="s">
        <v>20</v>
      </c>
      <c r="D61" s="56">
        <f>D62</f>
        <v>25300000</v>
      </c>
      <c r="E61" s="6"/>
      <c r="F61" s="5"/>
      <c r="G61" s="5"/>
      <c r="H61" s="1"/>
      <c r="I61" s="1"/>
      <c r="J61" s="1"/>
      <c r="K61" s="1"/>
      <c r="L61" s="1"/>
    </row>
    <row r="62" spans="1:12" ht="38.1" customHeight="1">
      <c r="A62" s="4"/>
      <c r="B62" s="4">
        <v>6704</v>
      </c>
      <c r="C62" s="5" t="s">
        <v>22</v>
      </c>
      <c r="D62" s="6">
        <f>7600000+17700000</f>
        <v>25300000</v>
      </c>
      <c r="E62" s="6"/>
      <c r="F62" s="5"/>
      <c r="G62" s="5"/>
      <c r="H62" s="1"/>
      <c r="I62" s="1"/>
      <c r="J62" s="1"/>
      <c r="K62" s="1"/>
      <c r="L62" s="1"/>
    </row>
    <row r="63" spans="1:12" ht="38.1" customHeight="1">
      <c r="A63" s="4"/>
      <c r="B63" s="8"/>
      <c r="C63" s="9" t="s">
        <v>23</v>
      </c>
      <c r="D63" s="10">
        <f>D64</f>
        <v>19890000</v>
      </c>
      <c r="E63" s="6"/>
      <c r="F63" s="5"/>
      <c r="G63" s="5"/>
      <c r="H63" s="1"/>
      <c r="I63" s="1"/>
      <c r="J63" s="1"/>
      <c r="K63" s="1"/>
      <c r="L63" s="1"/>
    </row>
    <row r="64" spans="1:12" ht="38.1" customHeight="1">
      <c r="A64" s="4"/>
      <c r="B64" s="4">
        <v>7764</v>
      </c>
      <c r="C64" s="5" t="s">
        <v>64</v>
      </c>
      <c r="D64" s="6">
        <v>19890000</v>
      </c>
      <c r="E64" s="6"/>
      <c r="F64" s="5"/>
      <c r="G64" s="5"/>
      <c r="H64" s="1"/>
      <c r="I64" s="1"/>
      <c r="J64" s="1"/>
      <c r="K64" s="1"/>
      <c r="L64" s="1"/>
    </row>
    <row r="65" spans="1:12" ht="38.1" customHeight="1">
      <c r="A65" s="4"/>
      <c r="B65" s="8"/>
      <c r="C65" s="9" t="s">
        <v>23</v>
      </c>
      <c r="D65" s="56">
        <f>D68+D66+D67</f>
        <v>200333200</v>
      </c>
      <c r="E65" s="6"/>
      <c r="F65" s="5"/>
      <c r="G65" s="5"/>
      <c r="H65" s="1"/>
      <c r="I65" s="1"/>
      <c r="J65" s="1"/>
      <c r="K65" s="1"/>
      <c r="L65" s="1"/>
    </row>
    <row r="66" spans="1:12" ht="38.1" customHeight="1">
      <c r="A66" s="4"/>
      <c r="B66" s="4">
        <v>7952</v>
      </c>
      <c r="C66" s="5" t="s">
        <v>59</v>
      </c>
      <c r="D66" s="6">
        <v>140000000</v>
      </c>
      <c r="E66" s="6"/>
      <c r="F66" s="5"/>
      <c r="G66" s="5"/>
      <c r="H66" s="1"/>
      <c r="I66" s="1"/>
      <c r="J66" s="1"/>
      <c r="K66" s="1"/>
      <c r="L66" s="1"/>
    </row>
    <row r="67" spans="1:12" ht="38.1" customHeight="1">
      <c r="A67" s="4"/>
      <c r="B67" s="4">
        <v>7954</v>
      </c>
      <c r="C67" s="5" t="s">
        <v>60</v>
      </c>
      <c r="D67" s="6">
        <v>50000000</v>
      </c>
      <c r="E67" s="6"/>
      <c r="F67" s="5"/>
      <c r="G67" s="5"/>
      <c r="H67" s="1"/>
      <c r="I67" s="1"/>
      <c r="J67" s="1"/>
      <c r="K67" s="1"/>
      <c r="L67" s="1"/>
    </row>
    <row r="68" spans="1:12" ht="38.1" customHeight="1">
      <c r="A68" s="4"/>
      <c r="B68" s="4">
        <v>7953</v>
      </c>
      <c r="C68" s="5" t="s">
        <v>36</v>
      </c>
      <c r="D68" s="6">
        <v>10333200</v>
      </c>
      <c r="E68" s="6"/>
      <c r="F68" s="5"/>
      <c r="G68" s="5"/>
      <c r="H68" s="1"/>
      <c r="I68" s="1"/>
      <c r="J68" s="1"/>
      <c r="K68" s="1"/>
      <c r="L68" s="1"/>
    </row>
    <row r="69" spans="1:12" ht="38.1" customHeight="1">
      <c r="A69" s="59">
        <v>2</v>
      </c>
      <c r="B69" s="59"/>
      <c r="C69" s="17" t="s">
        <v>50</v>
      </c>
      <c r="D69" s="56">
        <f>SUM(D71:D74)</f>
        <v>165546958</v>
      </c>
      <c r="E69" s="6"/>
      <c r="F69" s="5"/>
      <c r="G69" s="5"/>
      <c r="H69" s="1"/>
      <c r="I69" s="1"/>
      <c r="J69" s="1"/>
      <c r="K69" s="1"/>
      <c r="L69" s="1"/>
    </row>
    <row r="70" spans="1:12" ht="38.1" customHeight="1">
      <c r="A70" s="59"/>
      <c r="B70" s="19">
        <v>6449</v>
      </c>
      <c r="C70" s="20" t="s">
        <v>113</v>
      </c>
      <c r="D70" s="21">
        <f>1352019618+490522053</f>
        <v>1842541671</v>
      </c>
      <c r="E70" s="21"/>
      <c r="F70" s="5"/>
      <c r="G70" s="5"/>
      <c r="H70" s="1"/>
      <c r="I70" s="1"/>
      <c r="J70" s="1"/>
      <c r="K70" s="1"/>
      <c r="L70" s="1"/>
    </row>
    <row r="71" spans="1:12" ht="38.1" customHeight="1">
      <c r="A71" s="4"/>
      <c r="B71" s="4">
        <v>6406</v>
      </c>
      <c r="C71" s="5" t="s">
        <v>114</v>
      </c>
      <c r="D71" s="6">
        <f>1200000+1500000+3240000</f>
        <v>5940000</v>
      </c>
      <c r="E71" s="6"/>
      <c r="F71" s="5"/>
      <c r="G71" s="5"/>
      <c r="H71" s="1"/>
      <c r="I71" s="1"/>
      <c r="J71" s="1"/>
      <c r="K71" s="1"/>
      <c r="L71" s="1"/>
    </row>
    <row r="72" spans="1:12" ht="38.1" customHeight="1">
      <c r="A72" s="4"/>
      <c r="B72" s="4">
        <v>6907</v>
      </c>
      <c r="C72" s="5" t="s">
        <v>51</v>
      </c>
      <c r="D72" s="6">
        <v>52616958</v>
      </c>
      <c r="E72" s="6"/>
      <c r="F72" s="5"/>
      <c r="G72" s="5"/>
      <c r="H72" s="1"/>
      <c r="I72" s="1"/>
      <c r="J72" s="1"/>
      <c r="K72" s="1"/>
      <c r="L72" s="1"/>
    </row>
    <row r="73" spans="1:12" ht="38.1" customHeight="1">
      <c r="A73" s="4"/>
      <c r="B73" s="4">
        <v>6999</v>
      </c>
      <c r="C73" s="5" t="s">
        <v>65</v>
      </c>
      <c r="D73" s="6">
        <v>86790000</v>
      </c>
      <c r="E73" s="6"/>
      <c r="F73" s="5"/>
      <c r="G73" s="5"/>
      <c r="H73" s="1"/>
      <c r="I73" s="1"/>
      <c r="J73" s="1"/>
      <c r="K73" s="1"/>
      <c r="L73" s="1"/>
    </row>
    <row r="74" spans="1:12" ht="38.1" customHeight="1">
      <c r="A74" s="4"/>
      <c r="B74" s="4">
        <v>7766</v>
      </c>
      <c r="C74" s="5" t="s">
        <v>61</v>
      </c>
      <c r="D74" s="6">
        <v>20200000</v>
      </c>
      <c r="E74" s="6"/>
      <c r="F74" s="5"/>
      <c r="G74" s="5"/>
      <c r="H74" s="1"/>
      <c r="I74" s="1"/>
      <c r="J74" s="1"/>
      <c r="K74" s="1"/>
      <c r="L74" s="1"/>
    </row>
    <row r="75" spans="1:12" ht="38.1" customHeight="1">
      <c r="A75" s="59">
        <v>3</v>
      </c>
      <c r="B75" s="59"/>
      <c r="C75" s="17" t="s">
        <v>66</v>
      </c>
      <c r="D75" s="56">
        <f>SUM(D76:D85)</f>
        <v>136898881</v>
      </c>
      <c r="E75" s="6"/>
      <c r="F75" s="5"/>
      <c r="G75" s="5"/>
      <c r="H75" s="1"/>
      <c r="I75" s="1"/>
      <c r="J75" s="1"/>
      <c r="K75" s="1"/>
      <c r="L75" s="1"/>
    </row>
    <row r="76" spans="1:12" ht="38.1" customHeight="1">
      <c r="A76" s="11"/>
      <c r="B76" s="4">
        <v>6001</v>
      </c>
      <c r="C76" s="5" t="s">
        <v>67</v>
      </c>
      <c r="D76" s="6">
        <f>48240421+30162202</f>
        <v>78402623</v>
      </c>
      <c r="E76" s="6"/>
      <c r="F76" s="5"/>
      <c r="G76" s="5"/>
      <c r="H76" s="1"/>
      <c r="I76" s="1"/>
      <c r="J76" s="1"/>
      <c r="K76" s="1"/>
      <c r="L76" s="1"/>
    </row>
    <row r="77" spans="1:12" ht="38.1" customHeight="1">
      <c r="A77" s="11"/>
      <c r="B77" s="4">
        <v>6101</v>
      </c>
      <c r="C77" s="5" t="s">
        <v>68</v>
      </c>
      <c r="D77" s="6">
        <f>436501+365000</f>
        <v>801501</v>
      </c>
      <c r="E77" s="6"/>
      <c r="F77" s="5"/>
      <c r="G77" s="5"/>
      <c r="H77" s="1"/>
      <c r="I77" s="1"/>
      <c r="J77" s="1"/>
      <c r="K77" s="1"/>
      <c r="L77" s="1"/>
    </row>
    <row r="78" spans="1:12" ht="38.1" customHeight="1">
      <c r="A78" s="11"/>
      <c r="B78" s="4">
        <v>6112</v>
      </c>
      <c r="C78" s="5" t="s">
        <v>9</v>
      </c>
      <c r="D78" s="6">
        <f>4603990+5425179</f>
        <v>10029169</v>
      </c>
      <c r="E78" s="6"/>
      <c r="F78" s="5"/>
      <c r="G78" s="5"/>
      <c r="H78" s="1"/>
      <c r="I78" s="1"/>
      <c r="J78" s="1"/>
      <c r="K78" s="1"/>
      <c r="L78" s="1"/>
    </row>
    <row r="79" spans="1:12" ht="38.1" customHeight="1">
      <c r="A79" s="11"/>
      <c r="B79" s="4">
        <v>6113</v>
      </c>
      <c r="C79" s="5" t="s">
        <v>10</v>
      </c>
      <c r="D79" s="6">
        <f>99000+20000</f>
        <v>119000</v>
      </c>
      <c r="E79" s="6"/>
      <c r="F79" s="5"/>
      <c r="G79" s="5"/>
      <c r="H79" s="1"/>
      <c r="I79" s="1"/>
      <c r="J79" s="1"/>
      <c r="K79" s="1"/>
      <c r="L79" s="1"/>
    </row>
    <row r="80" spans="1:12" ht="38.1" customHeight="1">
      <c r="A80" s="11"/>
      <c r="B80" s="4">
        <v>6115</v>
      </c>
      <c r="C80" s="5" t="s">
        <v>69</v>
      </c>
      <c r="D80" s="6">
        <f>4855854+4093073</f>
        <v>8948927</v>
      </c>
      <c r="E80" s="6"/>
      <c r="F80" s="5"/>
      <c r="G80" s="5"/>
      <c r="H80" s="1"/>
      <c r="I80" s="1"/>
      <c r="J80" s="1"/>
      <c r="K80" s="1"/>
      <c r="L80" s="1"/>
    </row>
    <row r="81" spans="1:12" ht="38.1" customHeight="1">
      <c r="A81" s="11"/>
      <c r="B81" s="4">
        <v>6116</v>
      </c>
      <c r="C81" s="5" t="s">
        <v>70</v>
      </c>
      <c r="D81" s="6">
        <f>10586225+8251316</f>
        <v>18837541</v>
      </c>
      <c r="E81" s="6"/>
      <c r="F81" s="5"/>
      <c r="G81" s="5"/>
      <c r="H81" s="1"/>
      <c r="I81" s="1"/>
      <c r="J81" s="1"/>
      <c r="K81" s="1"/>
      <c r="L81" s="1"/>
    </row>
    <row r="82" spans="1:12" ht="38.1" customHeight="1">
      <c r="A82" s="11"/>
      <c r="B82" s="4">
        <v>6301</v>
      </c>
      <c r="C82" s="5" t="s">
        <v>13</v>
      </c>
      <c r="D82" s="6">
        <f>8676749+6058554</f>
        <v>14735303</v>
      </c>
      <c r="E82" s="6"/>
      <c r="F82" s="5"/>
      <c r="G82" s="5"/>
      <c r="H82" s="1"/>
      <c r="I82" s="1"/>
      <c r="J82" s="1"/>
      <c r="K82" s="1"/>
      <c r="L82" s="1"/>
    </row>
    <row r="83" spans="1:12" ht="38.1" customHeight="1">
      <c r="A83" s="11"/>
      <c r="B83" s="4">
        <v>6302</v>
      </c>
      <c r="C83" s="5" t="s">
        <v>15</v>
      </c>
      <c r="D83" s="6">
        <f>1487441+1038617</f>
        <v>2526058</v>
      </c>
      <c r="E83" s="6"/>
      <c r="F83" s="5"/>
      <c r="G83" s="5"/>
      <c r="H83" s="1"/>
      <c r="I83" s="1"/>
      <c r="J83" s="1"/>
      <c r="K83" s="1"/>
      <c r="L83" s="1"/>
    </row>
    <row r="84" spans="1:12" ht="38.1" customHeight="1">
      <c r="A84" s="4"/>
      <c r="B84" s="4">
        <v>6303</v>
      </c>
      <c r="C84" s="5" t="s">
        <v>14</v>
      </c>
      <c r="D84" s="6">
        <f>991628+692401</f>
        <v>1684029</v>
      </c>
      <c r="E84" s="6"/>
      <c r="F84" s="5"/>
      <c r="G84" s="5"/>
      <c r="H84" s="1"/>
      <c r="I84" s="1"/>
      <c r="J84" s="1"/>
      <c r="K84" s="1"/>
      <c r="L84" s="1"/>
    </row>
    <row r="85" spans="1:12" ht="38.1" customHeight="1">
      <c r="A85" s="4"/>
      <c r="B85" s="4">
        <v>6304</v>
      </c>
      <c r="C85" s="5" t="s">
        <v>16</v>
      </c>
      <c r="D85" s="6">
        <f>480191+334539</f>
        <v>814730</v>
      </c>
      <c r="E85" s="6"/>
      <c r="F85" s="5"/>
      <c r="G85" s="5"/>
      <c r="H85" s="1"/>
      <c r="I85" s="1"/>
      <c r="J85" s="1"/>
      <c r="K85" s="1"/>
      <c r="L85" s="1"/>
    </row>
    <row r="86" spans="1:12" ht="38.1" customHeight="1">
      <c r="A86" s="47" t="s">
        <v>27</v>
      </c>
      <c r="B86" s="47"/>
      <c r="C86" s="22" t="s">
        <v>131</v>
      </c>
      <c r="D86" s="16">
        <f>D87</f>
        <v>1659768367</v>
      </c>
      <c r="E86" s="6"/>
      <c r="F86" s="5"/>
      <c r="G86" s="5"/>
      <c r="H86" s="1"/>
      <c r="I86" s="1"/>
      <c r="J86" s="1"/>
      <c r="K86" s="1"/>
      <c r="L86" s="1"/>
    </row>
    <row r="87" spans="1:12" ht="38.1" customHeight="1">
      <c r="A87" s="11"/>
      <c r="B87" s="11"/>
      <c r="C87" s="12" t="s">
        <v>28</v>
      </c>
      <c r="D87" s="13">
        <f>SUM(D88:D98)</f>
        <v>1659768367</v>
      </c>
      <c r="E87" s="6"/>
      <c r="F87" s="5"/>
      <c r="G87" s="5"/>
      <c r="H87" s="1"/>
      <c r="I87" s="1"/>
      <c r="J87" s="1"/>
      <c r="K87" s="1"/>
      <c r="L87" s="1"/>
    </row>
    <row r="88" spans="1:12" ht="38.1" customHeight="1">
      <c r="A88" s="11"/>
      <c r="B88" s="19"/>
      <c r="C88" s="20" t="s">
        <v>71</v>
      </c>
      <c r="D88" s="71">
        <f>443737000+9424392</f>
        <v>453161392</v>
      </c>
      <c r="E88" s="6"/>
      <c r="F88" s="74"/>
      <c r="G88" s="5"/>
      <c r="H88" s="1"/>
      <c r="I88" s="1"/>
      <c r="J88" s="1"/>
      <c r="K88" s="1"/>
      <c r="L88" s="1"/>
    </row>
    <row r="89" spans="1:12" ht="38.1" customHeight="1">
      <c r="A89" s="11"/>
      <c r="B89" s="19"/>
      <c r="C89" s="20" t="s">
        <v>72</v>
      </c>
      <c r="D89" s="21">
        <v>146930112</v>
      </c>
      <c r="E89" s="6"/>
      <c r="F89" s="5"/>
      <c r="G89" s="5"/>
      <c r="H89" s="1"/>
      <c r="I89" s="1"/>
      <c r="J89" s="1"/>
      <c r="K89" s="1"/>
      <c r="L89" s="1"/>
    </row>
    <row r="90" spans="1:12" ht="44.25" customHeight="1">
      <c r="A90" s="11"/>
      <c r="B90" s="19"/>
      <c r="C90" s="60" t="s">
        <v>76</v>
      </c>
      <c r="D90" s="21">
        <f>90756706+88500000</f>
        <v>179256706</v>
      </c>
      <c r="E90" s="6"/>
      <c r="F90" s="5"/>
      <c r="G90" s="5"/>
      <c r="H90" s="1"/>
      <c r="I90" s="1"/>
      <c r="J90" s="1"/>
      <c r="K90" s="1"/>
      <c r="L90" s="1"/>
    </row>
    <row r="91" spans="1:12" ht="38.1" customHeight="1">
      <c r="A91" s="11"/>
      <c r="B91" s="19"/>
      <c r="C91" s="20" t="s">
        <v>73</v>
      </c>
      <c r="D91" s="71">
        <f>15735151+9994950+17310114</f>
        <v>43040215</v>
      </c>
      <c r="E91" s="6"/>
      <c r="F91" s="5"/>
      <c r="G91" s="5"/>
      <c r="H91" s="1"/>
      <c r="I91" s="1"/>
      <c r="J91" s="1"/>
      <c r="K91" s="1"/>
      <c r="L91" s="1"/>
    </row>
    <row r="92" spans="1:12" ht="38.1" customHeight="1">
      <c r="A92" s="11"/>
      <c r="B92" s="19"/>
      <c r="C92" s="20" t="s">
        <v>74</v>
      </c>
      <c r="D92" s="21">
        <f>110691242+67072155+66396262+131281283</f>
        <v>375440942</v>
      </c>
      <c r="E92" s="6"/>
      <c r="F92" s="5"/>
      <c r="G92" s="5"/>
      <c r="H92" s="1"/>
      <c r="I92" s="1"/>
      <c r="J92" s="1"/>
      <c r="K92" s="1"/>
      <c r="L92" s="1"/>
    </row>
    <row r="93" spans="1:12" ht="38.1" customHeight="1">
      <c r="A93" s="11"/>
      <c r="B93" s="19"/>
      <c r="C93" s="20" t="s">
        <v>115</v>
      </c>
      <c r="D93" s="21">
        <v>63235000</v>
      </c>
      <c r="E93" s="6"/>
      <c r="F93" s="5"/>
      <c r="G93" s="5"/>
      <c r="H93" s="1"/>
      <c r="I93" s="1"/>
      <c r="J93" s="1"/>
      <c r="K93" s="1"/>
      <c r="L93" s="1"/>
    </row>
    <row r="94" spans="1:12" ht="38.1" customHeight="1">
      <c r="A94" s="11"/>
      <c r="B94" s="19"/>
      <c r="C94" s="60" t="s">
        <v>111</v>
      </c>
      <c r="D94" s="21">
        <v>17054000</v>
      </c>
      <c r="E94" s="6"/>
      <c r="F94" s="5"/>
      <c r="G94" s="5"/>
      <c r="H94" s="1"/>
      <c r="I94" s="1"/>
      <c r="J94" s="1"/>
      <c r="K94" s="1"/>
      <c r="L94" s="1"/>
    </row>
    <row r="95" spans="1:12" ht="38.1" customHeight="1">
      <c r="A95" s="11"/>
      <c r="B95" s="19"/>
      <c r="C95" s="60" t="s">
        <v>77</v>
      </c>
      <c r="D95" s="21">
        <v>29650000</v>
      </c>
      <c r="E95" s="6"/>
      <c r="F95" s="5"/>
      <c r="G95" s="5"/>
      <c r="H95" s="1"/>
      <c r="I95" s="1"/>
      <c r="J95" s="1"/>
      <c r="K95" s="1"/>
      <c r="L95" s="1"/>
    </row>
    <row r="96" spans="1:12" ht="38.1" customHeight="1">
      <c r="A96" s="11"/>
      <c r="B96" s="19"/>
      <c r="C96" s="60" t="s">
        <v>78</v>
      </c>
      <c r="D96" s="21">
        <v>22350000</v>
      </c>
      <c r="E96" s="6"/>
      <c r="F96" s="5"/>
      <c r="G96" s="5"/>
      <c r="H96" s="1"/>
      <c r="I96" s="1"/>
      <c r="J96" s="1"/>
      <c r="K96" s="1"/>
      <c r="L96" s="1"/>
    </row>
    <row r="97" spans="1:12" ht="38.1" customHeight="1">
      <c r="A97" s="11"/>
      <c r="B97" s="19"/>
      <c r="C97" s="60" t="s">
        <v>79</v>
      </c>
      <c r="D97" s="21">
        <v>29650000</v>
      </c>
      <c r="E97" s="6"/>
      <c r="F97" s="5"/>
      <c r="G97" s="5"/>
      <c r="H97" s="1"/>
      <c r="I97" s="1"/>
      <c r="J97" s="1"/>
      <c r="K97" s="1"/>
      <c r="L97" s="1"/>
    </row>
    <row r="98" spans="1:12" ht="38.1" customHeight="1">
      <c r="A98" s="11"/>
      <c r="B98" s="19"/>
      <c r="C98" s="60" t="s">
        <v>75</v>
      </c>
      <c r="D98" s="21">
        <v>300000000</v>
      </c>
      <c r="E98" s="6"/>
      <c r="F98" s="5"/>
      <c r="G98" s="5"/>
      <c r="H98" s="1"/>
      <c r="I98" s="1"/>
      <c r="J98" s="1"/>
      <c r="K98" s="1"/>
      <c r="L98" s="1"/>
    </row>
    <row r="99" spans="1:12" ht="38.1" customHeight="1">
      <c r="A99" s="22" t="s">
        <v>29</v>
      </c>
      <c r="B99" s="22"/>
      <c r="C99" s="22" t="s">
        <v>30</v>
      </c>
      <c r="D99" s="16">
        <f>SUM(D100:D147)/2</f>
        <v>3094723361</v>
      </c>
      <c r="E99" s="6"/>
      <c r="F99" s="5"/>
      <c r="G99" s="5"/>
      <c r="H99" s="1"/>
      <c r="I99" s="1"/>
      <c r="J99" s="1"/>
      <c r="K99" s="1"/>
      <c r="L99" s="1"/>
    </row>
    <row r="100" spans="1:12" ht="38.1" customHeight="1">
      <c r="A100" s="12">
        <v>1</v>
      </c>
      <c r="B100" s="12"/>
      <c r="C100" s="12" t="s">
        <v>31</v>
      </c>
      <c r="D100" s="57">
        <f>D101++D102+D103+D104</f>
        <v>87454000</v>
      </c>
      <c r="E100" s="6"/>
      <c r="F100" s="5"/>
      <c r="G100" s="5"/>
      <c r="H100" s="1"/>
      <c r="I100" s="1"/>
      <c r="J100" s="1"/>
      <c r="K100" s="1"/>
      <c r="L100" s="1"/>
    </row>
    <row r="101" spans="1:12" s="61" customFormat="1" ht="38.1" customHeight="1">
      <c r="A101" s="22"/>
      <c r="B101" s="9"/>
      <c r="C101" s="62" t="s">
        <v>80</v>
      </c>
      <c r="D101" s="6">
        <v>8800000</v>
      </c>
      <c r="E101" s="16"/>
      <c r="F101" s="22"/>
      <c r="G101" s="22"/>
      <c r="H101" s="2"/>
      <c r="I101" s="2"/>
      <c r="J101" s="2"/>
      <c r="K101" s="2"/>
      <c r="L101" s="2"/>
    </row>
    <row r="102" spans="1:12" s="61" customFormat="1" ht="38.1" customHeight="1">
      <c r="A102" s="22"/>
      <c r="B102" s="22"/>
      <c r="C102" s="62" t="s">
        <v>81</v>
      </c>
      <c r="D102" s="6">
        <v>1430000</v>
      </c>
      <c r="E102" s="16"/>
      <c r="F102" s="22"/>
      <c r="G102" s="22"/>
      <c r="H102" s="2"/>
      <c r="I102" s="2"/>
      <c r="J102" s="2"/>
      <c r="K102" s="2"/>
      <c r="L102" s="2"/>
    </row>
    <row r="103" spans="1:12" s="61" customFormat="1" ht="38.1" customHeight="1">
      <c r="A103" s="22"/>
      <c r="B103" s="22"/>
      <c r="C103" s="62" t="s">
        <v>82</v>
      </c>
      <c r="D103" s="6">
        <v>4490400</v>
      </c>
      <c r="E103" s="16"/>
      <c r="F103" s="22"/>
      <c r="G103" s="22"/>
      <c r="H103" s="2"/>
      <c r="I103" s="2"/>
      <c r="J103" s="2"/>
      <c r="K103" s="2"/>
      <c r="L103" s="2"/>
    </row>
    <row r="104" spans="1:12" s="61" customFormat="1" ht="38.1" customHeight="1">
      <c r="A104" s="22"/>
      <c r="B104" s="9"/>
      <c r="C104" s="62" t="s">
        <v>83</v>
      </c>
      <c r="D104" s="6">
        <f>71862600+871000</f>
        <v>72733600</v>
      </c>
      <c r="E104" s="16"/>
      <c r="F104" s="22"/>
      <c r="G104" s="22"/>
      <c r="H104" s="2"/>
      <c r="I104" s="2"/>
      <c r="J104" s="2"/>
      <c r="K104" s="2"/>
      <c r="L104" s="2"/>
    </row>
    <row r="105" spans="1:12" ht="38.1" customHeight="1">
      <c r="A105" s="12">
        <v>2</v>
      </c>
      <c r="B105" s="12"/>
      <c r="C105" s="12" t="s">
        <v>32</v>
      </c>
      <c r="D105" s="13">
        <f>SUM(D106:D109)</f>
        <v>996614702</v>
      </c>
      <c r="E105" s="6"/>
      <c r="F105" s="74"/>
      <c r="G105" s="5"/>
      <c r="H105" s="1"/>
      <c r="I105" s="1"/>
      <c r="J105" s="1"/>
      <c r="K105" s="1"/>
      <c r="L105" s="1"/>
    </row>
    <row r="106" spans="1:12" s="63" customFormat="1" ht="38.1" customHeight="1">
      <c r="A106" s="12"/>
      <c r="B106" s="64"/>
      <c r="C106" s="68" t="s">
        <v>84</v>
      </c>
      <c r="D106" s="67">
        <f>262501342+351823485+146243800</f>
        <v>760568627</v>
      </c>
      <c r="E106" s="6"/>
      <c r="F106" s="74"/>
      <c r="G106" s="5"/>
      <c r="H106" s="1"/>
      <c r="I106" s="1"/>
      <c r="J106" s="1"/>
      <c r="K106" s="1"/>
      <c r="L106" s="1"/>
    </row>
    <row r="107" spans="1:12" s="63" customFormat="1" ht="38.1" customHeight="1">
      <c r="A107" s="12"/>
      <c r="B107" s="4"/>
      <c r="C107" s="5" t="s">
        <v>85</v>
      </c>
      <c r="D107" s="21">
        <f>79067825+14584000</f>
        <v>93651825</v>
      </c>
      <c r="E107" s="6"/>
      <c r="F107" s="5"/>
      <c r="G107" s="5"/>
      <c r="H107" s="1"/>
      <c r="I107" s="1"/>
      <c r="J107" s="1"/>
      <c r="K107" s="1"/>
      <c r="L107" s="1"/>
    </row>
    <row r="108" spans="1:12" s="63" customFormat="1" ht="38.1" customHeight="1">
      <c r="A108" s="5"/>
      <c r="B108" s="62"/>
      <c r="C108" s="62" t="s">
        <v>23</v>
      </c>
      <c r="D108" s="67">
        <f>104355600+19421250</f>
        <v>123776850</v>
      </c>
      <c r="E108" s="6"/>
      <c r="F108" s="5"/>
      <c r="G108" s="5"/>
      <c r="H108" s="1"/>
      <c r="I108" s="1"/>
      <c r="J108" s="1"/>
      <c r="K108" s="1"/>
      <c r="L108" s="1"/>
    </row>
    <row r="109" spans="1:12" s="63" customFormat="1" ht="38.1" customHeight="1">
      <c r="A109" s="5"/>
      <c r="B109" s="5"/>
      <c r="C109" s="62" t="s">
        <v>86</v>
      </c>
      <c r="D109" s="69">
        <v>18617400</v>
      </c>
      <c r="E109" s="6"/>
      <c r="F109" s="5"/>
      <c r="G109" s="5"/>
      <c r="H109" s="1"/>
      <c r="I109" s="1"/>
      <c r="J109" s="1"/>
      <c r="K109" s="1"/>
      <c r="L109" s="1"/>
    </row>
    <row r="110" spans="1:12" s="63" customFormat="1" ht="38.1" customHeight="1">
      <c r="A110" s="12">
        <v>3</v>
      </c>
      <c r="B110" s="12"/>
      <c r="C110" s="12" t="s">
        <v>34</v>
      </c>
      <c r="D110" s="13">
        <f>SUM(D111:D114)</f>
        <v>810943265</v>
      </c>
      <c r="E110" s="6"/>
      <c r="F110" s="5"/>
      <c r="G110" s="5"/>
      <c r="H110" s="1"/>
      <c r="I110" s="1"/>
      <c r="J110" s="1"/>
      <c r="K110" s="1"/>
      <c r="L110" s="1"/>
    </row>
    <row r="111" spans="1:12" s="63" customFormat="1" ht="38.1" customHeight="1">
      <c r="A111" s="5"/>
      <c r="B111" s="23"/>
      <c r="C111" s="68" t="s">
        <v>84</v>
      </c>
      <c r="D111" s="69">
        <f>281897052+222618211+79541391</f>
        <v>584056654</v>
      </c>
      <c r="E111" s="6"/>
      <c r="F111" s="74"/>
      <c r="G111" s="5"/>
      <c r="H111" s="1"/>
      <c r="I111" s="1"/>
      <c r="J111" s="1"/>
      <c r="K111" s="1"/>
      <c r="L111" s="1"/>
    </row>
    <row r="112" spans="1:12" s="63" customFormat="1" ht="38.1" customHeight="1">
      <c r="A112" s="5"/>
      <c r="B112" s="23"/>
      <c r="C112" s="5" t="s">
        <v>85</v>
      </c>
      <c r="D112" s="69">
        <f>39780000</f>
        <v>39780000</v>
      </c>
      <c r="E112" s="6"/>
      <c r="F112" s="5"/>
      <c r="G112" s="5"/>
      <c r="H112" s="1"/>
      <c r="I112" s="1"/>
      <c r="J112" s="1"/>
      <c r="K112" s="1"/>
      <c r="L112" s="1"/>
    </row>
    <row r="113" spans="1:12" s="63" customFormat="1" ht="38.1" customHeight="1">
      <c r="A113" s="5"/>
      <c r="B113" s="23"/>
      <c r="C113" s="62" t="s">
        <v>23</v>
      </c>
      <c r="D113" s="6">
        <f>145734111+25861000</f>
        <v>171595111</v>
      </c>
      <c r="E113" s="6"/>
      <c r="F113" s="62"/>
      <c r="G113" s="62"/>
      <c r="H113" s="65"/>
      <c r="I113" s="66"/>
      <c r="J113" s="1"/>
      <c r="K113" s="1"/>
      <c r="L113" s="1"/>
    </row>
    <row r="114" spans="1:12" s="63" customFormat="1" ht="38.1" customHeight="1">
      <c r="A114" s="5"/>
      <c r="B114" s="62"/>
      <c r="C114" s="62" t="s">
        <v>86</v>
      </c>
      <c r="D114" s="6">
        <v>15511500</v>
      </c>
      <c r="E114" s="6"/>
      <c r="F114" s="5"/>
      <c r="G114" s="5"/>
      <c r="H114" s="1"/>
      <c r="I114" s="1"/>
      <c r="J114" s="1"/>
      <c r="K114" s="1"/>
      <c r="L114" s="1"/>
    </row>
    <row r="115" spans="1:12" s="63" customFormat="1" ht="38.1" customHeight="1">
      <c r="A115" s="12">
        <v>4</v>
      </c>
      <c r="B115" s="12"/>
      <c r="C115" s="12" t="s">
        <v>87</v>
      </c>
      <c r="D115" s="13">
        <f>SUM(D116:D117)</f>
        <v>71560000</v>
      </c>
      <c r="E115" s="6"/>
      <c r="F115" s="5"/>
      <c r="G115" s="5"/>
      <c r="H115" s="1"/>
      <c r="I115" s="1"/>
      <c r="J115" s="1"/>
      <c r="K115" s="1"/>
      <c r="L115" s="1"/>
    </row>
    <row r="116" spans="1:12" s="63" customFormat="1" ht="38.1" customHeight="1">
      <c r="A116" s="4"/>
      <c r="B116" s="4"/>
      <c r="C116" s="68" t="s">
        <v>88</v>
      </c>
      <c r="D116" s="69">
        <f>45000000+26560000-2560000</f>
        <v>69000000</v>
      </c>
      <c r="E116" s="6"/>
      <c r="F116" s="5"/>
      <c r="G116" s="5"/>
      <c r="H116" s="1"/>
      <c r="I116" s="1"/>
      <c r="J116" s="1"/>
      <c r="K116" s="1"/>
      <c r="L116" s="1"/>
    </row>
    <row r="117" spans="1:12" s="63" customFormat="1" ht="38.1" customHeight="1">
      <c r="A117" s="5"/>
      <c r="B117" s="5"/>
      <c r="C117" s="62" t="s">
        <v>86</v>
      </c>
      <c r="D117" s="6">
        <v>2560000</v>
      </c>
      <c r="E117" s="6"/>
      <c r="F117" s="5"/>
      <c r="G117" s="5"/>
      <c r="H117" s="1"/>
      <c r="I117" s="1"/>
      <c r="J117" s="1"/>
      <c r="K117" s="1"/>
      <c r="L117" s="1"/>
    </row>
    <row r="118" spans="1:12" s="63" customFormat="1" ht="38.1" customHeight="1">
      <c r="A118" s="12">
        <v>5</v>
      </c>
      <c r="B118" s="12"/>
      <c r="C118" s="12" t="s">
        <v>89</v>
      </c>
      <c r="D118" s="13">
        <f>SUM(D119:D121)</f>
        <v>78783983</v>
      </c>
      <c r="E118" s="6"/>
      <c r="F118" s="5"/>
      <c r="G118" s="5"/>
      <c r="H118" s="1"/>
      <c r="I118" s="1"/>
      <c r="J118" s="1"/>
      <c r="K118" s="1"/>
      <c r="L118" s="1"/>
    </row>
    <row r="119" spans="1:12" s="63" customFormat="1" ht="38.1" customHeight="1">
      <c r="A119" s="5"/>
      <c r="B119" s="5"/>
      <c r="C119" s="68" t="s">
        <v>90</v>
      </c>
      <c r="D119" s="6">
        <f>18418000+18286000+4702000</f>
        <v>41406000</v>
      </c>
      <c r="E119" s="6"/>
      <c r="F119" s="5"/>
      <c r="G119" s="5"/>
      <c r="H119" s="1"/>
      <c r="I119" s="1"/>
      <c r="J119" s="1"/>
      <c r="K119" s="1"/>
      <c r="L119" s="1"/>
    </row>
    <row r="120" spans="1:12" s="63" customFormat="1" ht="38.1" customHeight="1">
      <c r="A120" s="5"/>
      <c r="B120" s="62"/>
      <c r="C120" s="62" t="s">
        <v>86</v>
      </c>
      <c r="D120" s="67">
        <v>2940600</v>
      </c>
      <c r="E120" s="6"/>
      <c r="F120" s="74"/>
      <c r="G120" s="5"/>
      <c r="H120" s="1"/>
      <c r="I120" s="1"/>
      <c r="J120" s="1"/>
      <c r="K120" s="1"/>
      <c r="L120" s="1"/>
    </row>
    <row r="121" spans="1:12" s="63" customFormat="1" ht="38.1" customHeight="1">
      <c r="A121" s="5"/>
      <c r="B121" s="5"/>
      <c r="C121" s="5" t="s">
        <v>91</v>
      </c>
      <c r="D121" s="6">
        <f>21952753+12484630</f>
        <v>34437383</v>
      </c>
      <c r="E121" s="6"/>
      <c r="F121" s="5"/>
      <c r="G121" s="5"/>
      <c r="H121" s="1"/>
      <c r="I121" s="1"/>
      <c r="J121" s="1"/>
      <c r="K121" s="1"/>
      <c r="L121" s="1"/>
    </row>
    <row r="122" spans="1:12" s="63" customFormat="1" ht="38.1" customHeight="1">
      <c r="A122" s="12">
        <v>6</v>
      </c>
      <c r="B122" s="12"/>
      <c r="C122" s="12" t="s">
        <v>92</v>
      </c>
      <c r="D122" s="13">
        <f>SUM(D123:D126)</f>
        <v>244015144</v>
      </c>
      <c r="E122" s="6"/>
      <c r="F122" s="5"/>
      <c r="G122" s="5"/>
      <c r="H122" s="1"/>
      <c r="I122" s="1"/>
      <c r="J122" s="1"/>
      <c r="K122" s="1"/>
      <c r="L122" s="1"/>
    </row>
    <row r="123" spans="1:12" s="63" customFormat="1" ht="38.1" customHeight="1">
      <c r="A123" s="12"/>
      <c r="B123" s="12"/>
      <c r="C123" s="68" t="s">
        <v>116</v>
      </c>
      <c r="D123" s="21">
        <v>214255054</v>
      </c>
      <c r="E123" s="6"/>
      <c r="F123" s="5"/>
      <c r="G123" s="5"/>
      <c r="H123" s="1"/>
      <c r="I123" s="1"/>
      <c r="J123" s="1"/>
      <c r="K123" s="1"/>
      <c r="L123" s="1"/>
    </row>
    <row r="124" spans="1:12" s="63" customFormat="1" ht="38.1" customHeight="1">
      <c r="A124" s="12"/>
      <c r="B124" s="12"/>
      <c r="C124" s="5" t="s">
        <v>85</v>
      </c>
      <c r="D124" s="21">
        <v>15120000</v>
      </c>
      <c r="E124" s="6"/>
      <c r="F124" s="5"/>
      <c r="G124" s="5"/>
      <c r="H124" s="1"/>
      <c r="I124" s="1"/>
      <c r="J124" s="1"/>
      <c r="K124" s="1"/>
      <c r="L124" s="1"/>
    </row>
    <row r="125" spans="1:12" s="63" customFormat="1" ht="38.1" customHeight="1">
      <c r="A125" s="12"/>
      <c r="B125" s="12"/>
      <c r="C125" s="5" t="s">
        <v>91</v>
      </c>
      <c r="D125" s="21">
        <v>10387690</v>
      </c>
      <c r="E125" s="6"/>
      <c r="F125" s="5"/>
      <c r="G125" s="5"/>
      <c r="H125" s="1"/>
      <c r="I125" s="1"/>
      <c r="J125" s="1"/>
      <c r="K125" s="1"/>
      <c r="L125" s="1"/>
    </row>
    <row r="126" spans="1:12" s="63" customFormat="1" ht="38.1" customHeight="1">
      <c r="A126" s="5"/>
      <c r="B126" s="4"/>
      <c r="C126" s="62" t="s">
        <v>82</v>
      </c>
      <c r="D126" s="6">
        <v>4252400</v>
      </c>
      <c r="E126" s="6"/>
      <c r="F126" s="5"/>
      <c r="G126" s="5"/>
      <c r="H126" s="1"/>
      <c r="I126" s="1"/>
      <c r="J126" s="1"/>
      <c r="K126" s="1"/>
      <c r="L126" s="1"/>
    </row>
    <row r="127" spans="1:12" s="63" customFormat="1" ht="38.1" customHeight="1">
      <c r="A127" s="12">
        <v>7</v>
      </c>
      <c r="B127" s="12"/>
      <c r="C127" s="12" t="s">
        <v>93</v>
      </c>
      <c r="D127" s="13">
        <f>D128+D130+D129</f>
        <v>23109360</v>
      </c>
      <c r="E127" s="6"/>
      <c r="F127" s="5"/>
      <c r="G127" s="5"/>
      <c r="H127" s="1"/>
      <c r="I127" s="1"/>
      <c r="J127" s="1"/>
      <c r="K127" s="1"/>
      <c r="L127" s="1"/>
    </row>
    <row r="128" spans="1:12" s="63" customFormat="1" ht="38.1" customHeight="1">
      <c r="A128" s="5"/>
      <c r="B128" s="4"/>
      <c r="C128" s="5" t="s">
        <v>94</v>
      </c>
      <c r="D128" s="6">
        <v>4200000</v>
      </c>
      <c r="E128" s="6"/>
      <c r="F128" s="5"/>
      <c r="G128" s="5"/>
      <c r="H128" s="1"/>
      <c r="I128" s="1"/>
      <c r="J128" s="1"/>
      <c r="K128" s="1"/>
      <c r="L128" s="1"/>
    </row>
    <row r="129" spans="1:12" s="63" customFormat="1" ht="38.1" customHeight="1">
      <c r="A129" s="5"/>
      <c r="B129" s="4"/>
      <c r="C129" s="5" t="s">
        <v>95</v>
      </c>
      <c r="D129" s="6">
        <v>8000000</v>
      </c>
      <c r="E129" s="6"/>
      <c r="F129" s="5"/>
      <c r="G129" s="5"/>
      <c r="H129" s="1"/>
      <c r="I129" s="1"/>
      <c r="J129" s="1"/>
      <c r="K129" s="1"/>
      <c r="L129" s="1"/>
    </row>
    <row r="130" spans="1:12" s="63" customFormat="1" ht="38.1" customHeight="1">
      <c r="A130" s="5"/>
      <c r="B130" s="4"/>
      <c r="C130" s="5" t="s">
        <v>96</v>
      </c>
      <c r="D130" s="6">
        <v>10909360</v>
      </c>
      <c r="E130" s="6"/>
      <c r="F130" s="5"/>
      <c r="G130" s="5"/>
      <c r="H130" s="1"/>
      <c r="I130" s="1"/>
      <c r="J130" s="1"/>
      <c r="K130" s="1"/>
      <c r="L130" s="1"/>
    </row>
    <row r="131" spans="1:12" s="63" customFormat="1" ht="38.1" customHeight="1">
      <c r="A131" s="12">
        <v>8</v>
      </c>
      <c r="B131" s="12"/>
      <c r="C131" s="12" t="s">
        <v>97</v>
      </c>
      <c r="D131" s="13">
        <f>SUM(D132:D140)</f>
        <v>559438101</v>
      </c>
      <c r="E131" s="6"/>
      <c r="F131" s="5"/>
      <c r="G131" s="5"/>
      <c r="H131" s="1"/>
      <c r="I131" s="1"/>
      <c r="J131" s="1"/>
      <c r="K131" s="1"/>
      <c r="L131" s="1"/>
    </row>
    <row r="132" spans="1:12" s="63" customFormat="1" ht="38.1" customHeight="1">
      <c r="A132" s="62"/>
      <c r="B132" s="62"/>
      <c r="C132" s="76" t="s">
        <v>96</v>
      </c>
      <c r="D132" s="77">
        <f>10850351+7059113+3000000+8633979+5404029</f>
        <v>34947472</v>
      </c>
      <c r="E132" s="6"/>
      <c r="F132" s="74"/>
      <c r="G132" s="6"/>
      <c r="H132" s="70"/>
      <c r="I132" s="1"/>
      <c r="J132" s="1"/>
      <c r="K132" s="1"/>
      <c r="L132" s="1"/>
    </row>
    <row r="133" spans="1:12" s="63" customFormat="1" ht="38.1" customHeight="1">
      <c r="A133" s="62"/>
      <c r="B133" s="62"/>
      <c r="C133" s="76" t="s">
        <v>117</v>
      </c>
      <c r="D133" s="77">
        <f>4524790+5851430</f>
        <v>10376220</v>
      </c>
      <c r="E133" s="6"/>
      <c r="F133" s="74"/>
      <c r="G133" s="6"/>
      <c r="H133" s="70"/>
      <c r="I133" s="1"/>
      <c r="J133" s="1"/>
      <c r="K133" s="1"/>
      <c r="L133" s="1"/>
    </row>
    <row r="134" spans="1:12" s="63" customFormat="1" ht="38.1" customHeight="1">
      <c r="A134" s="62"/>
      <c r="B134" s="62"/>
      <c r="C134" s="76" t="s">
        <v>118</v>
      </c>
      <c r="D134" s="77">
        <v>5174500</v>
      </c>
      <c r="E134" s="6"/>
      <c r="F134" s="74"/>
      <c r="G134" s="6"/>
      <c r="H134" s="70"/>
      <c r="I134" s="1"/>
      <c r="J134" s="1"/>
      <c r="K134" s="1"/>
      <c r="L134" s="1"/>
    </row>
    <row r="135" spans="1:12" s="63" customFormat="1" ht="38.1" customHeight="1">
      <c r="A135" s="62"/>
      <c r="B135" s="62"/>
      <c r="C135" s="76" t="s">
        <v>82</v>
      </c>
      <c r="D135" s="77">
        <f>5506800+2608900+1472000</f>
        <v>9587700</v>
      </c>
      <c r="E135" s="6"/>
      <c r="F135" s="5"/>
      <c r="G135" s="6"/>
      <c r="H135" s="70"/>
      <c r="I135" s="1"/>
      <c r="J135" s="1"/>
      <c r="K135" s="1"/>
      <c r="L135" s="1"/>
    </row>
    <row r="136" spans="1:12" s="63" customFormat="1" ht="38.1" customHeight="1">
      <c r="A136" s="62"/>
      <c r="B136" s="62"/>
      <c r="C136" s="76" t="s">
        <v>102</v>
      </c>
      <c r="D136" s="77">
        <f>88811+193612+63571</f>
        <v>345994</v>
      </c>
      <c r="E136" s="6"/>
      <c r="F136" s="5"/>
      <c r="G136" s="6"/>
      <c r="H136" s="70"/>
      <c r="I136" s="1"/>
      <c r="J136" s="1"/>
      <c r="K136" s="1"/>
      <c r="L136" s="1"/>
    </row>
    <row r="137" spans="1:12" s="63" customFormat="1" ht="38.1" customHeight="1">
      <c r="A137" s="62"/>
      <c r="B137" s="5"/>
      <c r="C137" s="5" t="s">
        <v>98</v>
      </c>
      <c r="D137" s="6">
        <f>2942000+3840000</f>
        <v>6782000</v>
      </c>
      <c r="E137" s="6"/>
      <c r="F137" s="5"/>
      <c r="G137" s="6"/>
      <c r="H137" s="70"/>
      <c r="I137" s="1"/>
      <c r="J137" s="1"/>
      <c r="K137" s="1"/>
      <c r="L137" s="1"/>
    </row>
    <row r="138" spans="1:12" s="63" customFormat="1" ht="38.1" customHeight="1">
      <c r="A138" s="5"/>
      <c r="B138" s="5"/>
      <c r="C138" s="5" t="s">
        <v>99</v>
      </c>
      <c r="D138" s="6">
        <f>1376000+877000+2374000</f>
        <v>4627000</v>
      </c>
      <c r="E138" s="6"/>
      <c r="F138" s="5"/>
      <c r="G138" s="6"/>
      <c r="H138" s="70"/>
      <c r="I138" s="1"/>
      <c r="J138" s="1"/>
      <c r="K138" s="1"/>
      <c r="L138" s="1"/>
    </row>
    <row r="139" spans="1:12" s="63" customFormat="1" ht="38.1" customHeight="1">
      <c r="A139" s="5"/>
      <c r="B139" s="5"/>
      <c r="C139" s="5" t="s">
        <v>100</v>
      </c>
      <c r="D139" s="6">
        <f>37633591+20209400+13286260+17456544+8353150+6170000+20257830</f>
        <v>123366775</v>
      </c>
      <c r="E139" s="6"/>
      <c r="F139" s="5"/>
      <c r="G139" s="6"/>
      <c r="H139" s="70"/>
      <c r="I139" s="1"/>
      <c r="J139" s="1"/>
      <c r="K139" s="1"/>
      <c r="L139" s="1"/>
    </row>
    <row r="140" spans="1:12" s="63" customFormat="1" ht="38.1" customHeight="1">
      <c r="A140" s="5"/>
      <c r="B140" s="5"/>
      <c r="C140" s="76" t="s">
        <v>101</v>
      </c>
      <c r="D140" s="77">
        <f>25930800+27741840+25930800+29058960+27247920+26918640+26918640+38079860+38127880+14617400+35946400+47711300</f>
        <v>364230440</v>
      </c>
      <c r="E140" s="6"/>
      <c r="F140" s="5"/>
      <c r="G140" s="6"/>
      <c r="H140" s="70"/>
      <c r="I140" s="1"/>
      <c r="J140" s="1"/>
      <c r="K140" s="1"/>
      <c r="L140" s="1"/>
    </row>
    <row r="141" spans="1:12" ht="38.1" customHeight="1">
      <c r="A141" s="14">
        <v>9</v>
      </c>
      <c r="B141" s="14"/>
      <c r="C141" s="14" t="s">
        <v>33</v>
      </c>
      <c r="D141" s="15">
        <f>SUM(D142:D147)</f>
        <v>222804806</v>
      </c>
      <c r="E141" s="6"/>
      <c r="F141" s="74"/>
      <c r="G141" s="6"/>
      <c r="H141" s="58"/>
      <c r="I141" s="1"/>
      <c r="J141" s="1"/>
      <c r="K141" s="1"/>
      <c r="L141" s="1"/>
    </row>
    <row r="142" spans="1:12" ht="38.1" customHeight="1">
      <c r="A142" s="5"/>
      <c r="B142" s="62"/>
      <c r="C142" s="62" t="s">
        <v>103</v>
      </c>
      <c r="D142" s="6">
        <v>5350000</v>
      </c>
      <c r="E142" s="6"/>
      <c r="F142" s="5"/>
      <c r="G142" s="74"/>
      <c r="H142" s="1"/>
      <c r="I142" s="1"/>
      <c r="J142" s="1"/>
      <c r="K142" s="1"/>
      <c r="L142" s="1"/>
    </row>
    <row r="143" spans="1:12" ht="38.1" customHeight="1">
      <c r="A143" s="5"/>
      <c r="B143" s="62"/>
      <c r="C143" s="62" t="s">
        <v>104</v>
      </c>
      <c r="D143" s="6">
        <v>8700000</v>
      </c>
      <c r="E143" s="6"/>
      <c r="F143" s="5"/>
      <c r="G143" s="5"/>
      <c r="H143" s="1"/>
      <c r="I143" s="1"/>
      <c r="J143" s="1"/>
      <c r="K143" s="1"/>
      <c r="L143" s="1"/>
    </row>
    <row r="144" spans="1:12" ht="38.1" customHeight="1">
      <c r="A144" s="5"/>
      <c r="B144" s="62"/>
      <c r="C144" s="62" t="s">
        <v>105</v>
      </c>
      <c r="D144" s="6">
        <v>4923600</v>
      </c>
      <c r="E144" s="6"/>
      <c r="F144" s="5"/>
      <c r="G144" s="5"/>
      <c r="H144" s="1"/>
      <c r="I144" s="1"/>
      <c r="J144" s="1"/>
      <c r="K144" s="1"/>
      <c r="L144" s="1"/>
    </row>
    <row r="145" spans="1:12" ht="38.1" customHeight="1">
      <c r="A145" s="5"/>
      <c r="B145" s="62"/>
      <c r="C145" s="62" t="s">
        <v>106</v>
      </c>
      <c r="D145" s="6">
        <v>14400000</v>
      </c>
      <c r="E145" s="6"/>
      <c r="F145" s="5"/>
      <c r="G145" s="5"/>
      <c r="H145" s="1"/>
      <c r="I145" s="1"/>
      <c r="J145" s="1"/>
      <c r="K145" s="1"/>
      <c r="L145" s="1"/>
    </row>
    <row r="146" spans="1:12" ht="38.1" customHeight="1">
      <c r="A146" s="5"/>
      <c r="B146" s="62"/>
      <c r="C146" s="62" t="s">
        <v>82</v>
      </c>
      <c r="D146" s="6">
        <v>2542000</v>
      </c>
      <c r="E146" s="6"/>
      <c r="F146" s="5"/>
      <c r="G146" s="5"/>
      <c r="H146" s="1"/>
      <c r="I146" s="1"/>
      <c r="J146" s="1"/>
      <c r="K146" s="1"/>
      <c r="L146" s="1"/>
    </row>
    <row r="147" spans="1:12" ht="38.1" customHeight="1">
      <c r="A147" s="5"/>
      <c r="B147" s="62"/>
      <c r="C147" s="62" t="s">
        <v>107</v>
      </c>
      <c r="D147" s="6">
        <f>165880606+56924200-D142-D143-D144-D145-D146</f>
        <v>186889206</v>
      </c>
      <c r="E147" s="6"/>
      <c r="F147" s="5"/>
      <c r="G147" s="5"/>
      <c r="H147" s="1"/>
      <c r="I147" s="1"/>
      <c r="J147" s="1"/>
      <c r="K147" s="1"/>
      <c r="L147" s="1"/>
    </row>
    <row r="148" spans="1:12" ht="38.1" customHeight="1">
      <c r="A148" s="5"/>
      <c r="B148" s="5"/>
      <c r="C148" s="24" t="s">
        <v>37</v>
      </c>
      <c r="D148" s="16">
        <f>D149+D151+D153+D155</f>
        <v>4214878838</v>
      </c>
      <c r="E148" s="5"/>
      <c r="F148" s="5"/>
      <c r="G148" s="5"/>
      <c r="H148" s="1"/>
      <c r="I148" s="1"/>
      <c r="J148" s="1"/>
      <c r="K148" s="1"/>
      <c r="L148" s="1"/>
    </row>
    <row r="149" spans="1:12" ht="38.1" customHeight="1">
      <c r="A149" s="14">
        <v>1</v>
      </c>
      <c r="B149" s="14"/>
      <c r="C149" s="14" t="s">
        <v>38</v>
      </c>
      <c r="D149" s="15">
        <f>D150</f>
        <v>3082916299</v>
      </c>
      <c r="E149" s="5"/>
      <c r="F149" s="5"/>
      <c r="G149" s="5"/>
      <c r="H149" s="1"/>
      <c r="I149" s="1"/>
      <c r="J149" s="1"/>
      <c r="K149" s="1"/>
      <c r="L149" s="1"/>
    </row>
    <row r="150" spans="1:12" ht="38.1" customHeight="1">
      <c r="A150" s="5"/>
      <c r="B150" s="5"/>
      <c r="C150" s="7" t="s">
        <v>129</v>
      </c>
      <c r="D150" s="6">
        <f>1526499256+1240298622+316118421</f>
        <v>3082916299</v>
      </c>
      <c r="E150" s="5"/>
      <c r="F150" s="5"/>
      <c r="G150" s="5"/>
      <c r="H150" s="1"/>
      <c r="I150" s="1"/>
      <c r="J150" s="1"/>
      <c r="K150" s="1"/>
      <c r="L150" s="1"/>
    </row>
    <row r="151" spans="1:12" ht="38.1" customHeight="1">
      <c r="A151" s="14">
        <v>2</v>
      </c>
      <c r="B151" s="14"/>
      <c r="C151" s="14" t="s">
        <v>39</v>
      </c>
      <c r="D151" s="15">
        <f>D152</f>
        <v>1037789180</v>
      </c>
      <c r="E151" s="5"/>
      <c r="F151" s="5"/>
      <c r="G151" s="5"/>
      <c r="H151" s="1"/>
      <c r="I151" s="1"/>
      <c r="J151" s="1"/>
      <c r="K151" s="1"/>
      <c r="L151" s="1"/>
    </row>
    <row r="152" spans="1:12" ht="38.1" customHeight="1">
      <c r="A152" s="5"/>
      <c r="B152" s="5"/>
      <c r="C152" s="5" t="s">
        <v>40</v>
      </c>
      <c r="D152" s="6">
        <f>519388203+415804892+102596085</f>
        <v>1037789180</v>
      </c>
      <c r="E152" s="5"/>
      <c r="F152" s="5"/>
      <c r="G152" s="5"/>
      <c r="H152" s="1"/>
      <c r="I152" s="1"/>
      <c r="J152" s="1"/>
      <c r="K152" s="1"/>
      <c r="L152" s="1"/>
    </row>
    <row r="153" spans="1:12" ht="38.1" customHeight="1">
      <c r="A153" s="14">
        <v>3</v>
      </c>
      <c r="B153" s="14"/>
      <c r="C153" s="14" t="s">
        <v>41</v>
      </c>
      <c r="D153" s="15">
        <f>D154</f>
        <v>6396000</v>
      </c>
      <c r="E153" s="5"/>
      <c r="F153" s="5"/>
      <c r="G153" s="5"/>
      <c r="H153" s="1"/>
      <c r="I153" s="1"/>
      <c r="J153" s="1"/>
      <c r="K153" s="1"/>
      <c r="L153" s="1"/>
    </row>
    <row r="154" spans="1:12" ht="38.1" customHeight="1">
      <c r="A154" s="51"/>
      <c r="B154" s="51"/>
      <c r="C154" s="51" t="s">
        <v>42</v>
      </c>
      <c r="D154" s="52">
        <f>6396000</f>
        <v>6396000</v>
      </c>
      <c r="E154" s="5"/>
      <c r="F154" s="5"/>
      <c r="G154" s="5"/>
      <c r="H154" s="1"/>
      <c r="I154" s="1"/>
      <c r="J154" s="1"/>
      <c r="K154" s="1"/>
      <c r="L154" s="1"/>
    </row>
    <row r="155" spans="1:12" ht="38.1" customHeight="1">
      <c r="A155" s="54">
        <v>4</v>
      </c>
      <c r="B155" s="54"/>
      <c r="C155" s="54" t="s">
        <v>49</v>
      </c>
      <c r="D155" s="55">
        <f>D156</f>
        <v>87777359</v>
      </c>
      <c r="E155" s="14"/>
      <c r="F155" s="5"/>
      <c r="G155" s="5"/>
      <c r="H155" s="1"/>
      <c r="I155" s="1"/>
      <c r="J155" s="1"/>
      <c r="K155" s="1"/>
      <c r="L155" s="1"/>
    </row>
    <row r="156" spans="1:12" ht="38.1" customHeight="1">
      <c r="A156" s="18"/>
      <c r="B156" s="18"/>
      <c r="C156" s="18" t="s">
        <v>57</v>
      </c>
      <c r="D156" s="53">
        <f>1805000+85320359+652000</f>
        <v>87777359</v>
      </c>
      <c r="E156" s="75"/>
      <c r="F156" s="75"/>
      <c r="G156" s="75"/>
      <c r="H156" s="1"/>
      <c r="I156" s="1"/>
      <c r="J156" s="1"/>
      <c r="K156" s="1"/>
      <c r="L156" s="1"/>
    </row>
    <row r="157" spans="1:12" ht="26.25" customHeight="1">
      <c r="A157" s="104"/>
      <c r="B157" s="104"/>
      <c r="C157" s="104"/>
      <c r="D157" s="105"/>
      <c r="E157" s="120" t="s">
        <v>132</v>
      </c>
      <c r="F157" s="120"/>
      <c r="G157" s="120"/>
      <c r="H157" s="1"/>
      <c r="I157" s="1"/>
      <c r="J157" s="1"/>
      <c r="K157" s="1"/>
      <c r="L157" s="1"/>
    </row>
    <row r="158" spans="1:12" ht="21.95" customHeight="1">
      <c r="A158" s="114" t="s">
        <v>53</v>
      </c>
      <c r="B158" s="114"/>
      <c r="C158" s="114"/>
      <c r="E158" s="115" t="s">
        <v>52</v>
      </c>
      <c r="F158" s="115"/>
      <c r="G158" s="115"/>
      <c r="H158" s="1"/>
      <c r="I158" s="1"/>
      <c r="J158" s="1"/>
      <c r="K158" s="1"/>
      <c r="L158" s="1"/>
    </row>
    <row r="159" spans="1:12" ht="21.9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21.9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21.95" customHeight="1">
      <c r="A161" s="106" t="s">
        <v>54</v>
      </c>
      <c r="B161" s="106"/>
      <c r="C161" s="106"/>
      <c r="E161" s="107" t="s">
        <v>119</v>
      </c>
      <c r="F161" s="107"/>
      <c r="G161" s="107"/>
      <c r="H161" s="1"/>
      <c r="I161" s="1"/>
      <c r="J161" s="1"/>
      <c r="K161" s="1"/>
      <c r="L161" s="1"/>
    </row>
    <row r="162" spans="1:12" ht="21.9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21.9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21.9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21.9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21.9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21.9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21.9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21.9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21.9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21.9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21.9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21.9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21.9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21.9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21.9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21.9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21.9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21.9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21.9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21.9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21.9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21.9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21.9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21.9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21.9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21.9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21.9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21.9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21.9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21.9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21.9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21.9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21.9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21.9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21.9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21.9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21.9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21.9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21.9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21.9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21.9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21.9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21.9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21.9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21.9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21.9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21.9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21.9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21.9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21.9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21.9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21.9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21.9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21.9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21.9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21.9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21.9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21.9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21.9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21.9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21.9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21.9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21.9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21.9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21.9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21.9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21.9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21.9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21.9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21.9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21.9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21.9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21.9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21.9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21.9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21.9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21.9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21.9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21.9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21.9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21.9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21.9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21.9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21.9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21.9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21.9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21.9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21.9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21.9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21.9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21.9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21.9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21.9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21.9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21.9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21.9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21.9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21.9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21.9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21.9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21.9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21.9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21.9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21.9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21.9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21.9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21.9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21.9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21.9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21.9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21.9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21.9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21.9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21.9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21.9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21.9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21.9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21.9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21.9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21.9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21.9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21.9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21.9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21.9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21.9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21.9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21.9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21.9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21.9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21.9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21.9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21.9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21.9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21.9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21.9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21.9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21.9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21.9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21.9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21.9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21.9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21.9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21.9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21.9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21.9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21.9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21.9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21.9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21.9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21.9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21.9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21.9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21.9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21.9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21.9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21.9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21.9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21.9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21.9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21.9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21.9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21.9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21.9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21.9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21.9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21.9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21.9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21.9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21.9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21.9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21.9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21.9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21.9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21.9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21.9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21.9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21.9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21.9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21.9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21.9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21.9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21.9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21.9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21.9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21.9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21.9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21.9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21.9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21.9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21.9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21.9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21.9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21.9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21.9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21.9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21.9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21.9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21.9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21.9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21.9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21.9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21.9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21.9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21.9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21.9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21.9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21.9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21.9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21.9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21.9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21.9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21.9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21.9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21.9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21.9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21.9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21.9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21.9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21.9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21.9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21.9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21.9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21.9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21.9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21.9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21.9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21.9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21.9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21.9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21.9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21.9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21.9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21.9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21.9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21.9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21.9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21.9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21.9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21.9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21.9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21.9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21.9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21.9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21.9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21.9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21.9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21.9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21.9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21.9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21.9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21.9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21.9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21.9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21.9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21.9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21.9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21.9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21.9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21.9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21.9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21.9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21.9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21.9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21.9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21.9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21.9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21.9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21.9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21.9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21.9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21.9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21.9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21.9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21.9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21.9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21.9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21.9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21.9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21.9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21.9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21.9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21.9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21.9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21.9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21.9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21.9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21.9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21.9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21.9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21.9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21.9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21.9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21.9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21.9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21.9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21.9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21.9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21.9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21.9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21.9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21.9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21.9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21.9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21.9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21.9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21.9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21.9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21.9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21.9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21.9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21.9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21.9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21.9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21.9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21.9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21.9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21.9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21.9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21.9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21.9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21.9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21.9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21.9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21.9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21.9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21.9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21.9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21.9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21.9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21.9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21.9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21.9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21.9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21.9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21.9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21.9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21.9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21.9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21.9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21.9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21.9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21.9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21.9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21.9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21.9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21.9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21.9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21.9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21.9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21.9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21.9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21.9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21.9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21.9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21.9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21.9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21.9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21.9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21.9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21.9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21.9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21.9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21.9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21.9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21.9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21.9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21.9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21.9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21.9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21.9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21.9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21.9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21.9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21.9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21.9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21.9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21.9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21.9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21.9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21.9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21.9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21.9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21.9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21.9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21.9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21.9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21.9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21.9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21.9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21.9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21.9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21.9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21.9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21.9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21.9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21.9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21.9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21.9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21.9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21.9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21.9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21.9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21.9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21.9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21.9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21.9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21.9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21.9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21.9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21.9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21.9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21.9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21.9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21.9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21.9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21.9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21.9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21.9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21.9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21.9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21.9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21.9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21.9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21.9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21.9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21.9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21.9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21.9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21.9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21.9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21.9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21.9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21.9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21.9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21.9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21.9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21.95" customHeight="1"/>
    <row r="599" spans="1:12" ht="21.95" customHeight="1"/>
    <row r="600" spans="1:12" ht="21.95" customHeight="1"/>
    <row r="601" spans="1:12" ht="21.95" customHeight="1"/>
    <row r="602" spans="1:12" ht="21.95" customHeight="1"/>
    <row r="603" spans="1:12" ht="21.95" customHeight="1"/>
    <row r="604" spans="1:12" ht="21.95" customHeight="1"/>
    <row r="605" spans="1:12" ht="21.95" customHeight="1"/>
    <row r="606" spans="1:12" ht="21.95" customHeight="1"/>
    <row r="607" spans="1:12" ht="21.95" customHeight="1"/>
    <row r="608" spans="1:12" ht="21.95" customHeight="1"/>
    <row r="609" ht="21.95" customHeight="1"/>
    <row r="610" ht="21.95" customHeight="1"/>
    <row r="611" ht="21.95" customHeight="1"/>
    <row r="612" ht="21.95" customHeight="1"/>
    <row r="613" ht="21.95" customHeight="1"/>
    <row r="614" ht="21.95" customHeight="1"/>
    <row r="615" ht="21.95" customHeight="1"/>
    <row r="616" ht="21.95" customHeight="1"/>
    <row r="617" ht="21.95" customHeight="1"/>
    <row r="618" ht="21.95" customHeight="1"/>
    <row r="619" ht="21.95" customHeight="1"/>
    <row r="620" ht="21.95" customHeight="1"/>
    <row r="621" ht="21.95" customHeight="1"/>
    <row r="622" ht="21.95" customHeight="1"/>
    <row r="623" ht="21.95" customHeight="1"/>
    <row r="624" ht="21.95" customHeight="1"/>
    <row r="625" ht="21.95" customHeight="1"/>
    <row r="626" ht="21.95" customHeight="1"/>
    <row r="627" ht="21.95" customHeight="1"/>
    <row r="628" ht="21.95" customHeight="1"/>
    <row r="629" ht="21.95" customHeight="1"/>
    <row r="630" ht="21.95" customHeight="1"/>
    <row r="631" ht="21.95" customHeight="1"/>
    <row r="632" ht="21.95" customHeight="1"/>
    <row r="633" ht="21.95" customHeight="1"/>
    <row r="634" ht="21.95" customHeight="1"/>
    <row r="635" ht="21.95" customHeight="1"/>
    <row r="636" ht="21.95" customHeight="1"/>
    <row r="637" ht="21.95" customHeight="1"/>
    <row r="638" ht="21.95" customHeight="1"/>
    <row r="639" ht="21.95" customHeight="1"/>
    <row r="640" ht="21.95" customHeight="1"/>
    <row r="641" ht="21.95" customHeight="1"/>
    <row r="642" ht="21.95" customHeight="1"/>
    <row r="643" ht="21.95" customHeight="1"/>
    <row r="644" ht="21.95" customHeight="1"/>
    <row r="645" ht="21.95" customHeight="1"/>
    <row r="646" ht="21.95" customHeight="1"/>
    <row r="647" ht="21.95" customHeight="1"/>
    <row r="648" ht="21.95" customHeight="1"/>
    <row r="649" ht="21.95" customHeight="1"/>
    <row r="650" ht="21.95" customHeight="1"/>
    <row r="651" ht="21.95" customHeight="1"/>
    <row r="652" ht="21.95" customHeight="1"/>
    <row r="653" ht="21.95" customHeight="1"/>
    <row r="654" ht="21.95" customHeight="1"/>
    <row r="655" ht="21.95" customHeight="1"/>
    <row r="656" ht="21.95" customHeight="1"/>
    <row r="657" ht="21.95" customHeight="1"/>
    <row r="658" ht="21.95" customHeight="1"/>
    <row r="659" ht="21.95" customHeight="1"/>
    <row r="660" ht="21.95" customHeight="1"/>
    <row r="661" ht="21.95" customHeight="1"/>
    <row r="662" ht="21.95" customHeight="1"/>
    <row r="663" ht="21.95" customHeight="1"/>
    <row r="664" ht="21.95" customHeight="1"/>
    <row r="665" ht="21.95" customHeight="1"/>
    <row r="666" ht="21.95" customHeight="1"/>
    <row r="667" ht="21.95" customHeight="1"/>
  </sheetData>
  <mergeCells count="13">
    <mergeCell ref="E158:G158"/>
    <mergeCell ref="E161:G161"/>
    <mergeCell ref="A1:G1"/>
    <mergeCell ref="A161:C161"/>
    <mergeCell ref="D2:E2"/>
    <mergeCell ref="A7:E7"/>
    <mergeCell ref="A9:C9"/>
    <mergeCell ref="A34:C34"/>
    <mergeCell ref="A158:C158"/>
    <mergeCell ref="A4:G4"/>
    <mergeCell ref="A5:G5"/>
    <mergeCell ref="A6:G6"/>
    <mergeCell ref="E157:G157"/>
  </mergeCells>
  <pageMargins left="0.28000000000000003" right="0.34" top="0.39" bottom="0.38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CK thu-chi TC (31-8) </vt:lpstr>
      <vt:lpstr>Sheet1</vt:lpstr>
    </vt:vector>
  </TitlesOfParts>
  <Company>MN_TUOINGOC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DANH</dc:creator>
  <cp:lastModifiedBy>Windows User</cp:lastModifiedBy>
  <cp:lastPrinted>2019-09-13T07:51:39Z</cp:lastPrinted>
  <dcterms:created xsi:type="dcterms:W3CDTF">2015-05-11T03:31:39Z</dcterms:created>
  <dcterms:modified xsi:type="dcterms:W3CDTF">2019-11-18T01:16:10Z</dcterms:modified>
</cp:coreProperties>
</file>